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iel\DGE\DATOS\ESTADÍSTICAS\Fuente DGE\Prefinales 2021\11 Noviembre\"/>
    </mc:Choice>
  </mc:AlternateContent>
  <xr:revisionPtr revIDLastSave="0" documentId="13_ncr:1_{5769B91B-CA62-4753-A8B5-1922A62DD5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" l="1"/>
  <c r="F57" i="1"/>
  <c r="H57" i="1"/>
  <c r="E57" i="1"/>
  <c r="G13" i="1" l="1"/>
  <c r="F12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l="1"/>
  <c r="H28" i="2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12" i="1" s="1"/>
  <c r="G25" i="1"/>
  <c r="G29" i="1"/>
  <c r="F32" i="1"/>
  <c r="E30" i="2" s="1"/>
  <c r="D17" i="1" l="1"/>
  <c r="G14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<sst xmlns="http://schemas.openxmlformats.org/spreadsheetml/2006/main" count="308" uniqueCount="132">
  <si>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</si>
  <si>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</si>
  <si>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</si>
  <si>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</si>
  <si>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</si>
  <si>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</si>
  <si>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</si>
  <si>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</si>
  <si>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</si>
  <si>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</si>
  <si>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</si>
  <si>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</si>
  <si>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</si>
  <si>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</si>
  <si>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</si>
  <si>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</si>
  <si>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</si>
  <si>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</si>
  <si>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</si>
  <si>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</si>
  <si>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</si>
  <si>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</si>
  <si>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</si>
  <si>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</si>
  <si>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</si>
  <si>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</si>
  <si>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</si>
  <si>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</si>
  <si>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</si>
  <si>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</si>
  <si>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</si>
  <si>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</si>
  <si>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</si>
  <si>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</si>
  <si>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</si>
  <si>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</si>
  <si>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</si>
  <si>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</si>
  <si>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</si>
  <si>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</si>
  <si>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</si>
  <si>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</si>
  <si>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</si>
  <si>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</si>
  <si>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</si>
  <si>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</si>
  <si>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</si>
  <si>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</si>
  <si>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</si>
  <si>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</si>
  <si>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</si>
  <si>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</si>
  <si>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</si>
  <si>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</si>
  <si>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</si>
  <si>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</si>
  <si>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</si>
  <si>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</si>
  <si>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</si>
  <si>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</si>
  <si>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</si>
  <si>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</si>
  <si>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</si>
  <si>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</si>
  <si>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</si>
  <si>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</si>
  <si>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</si>
  <si>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</si>
  <si>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</si>
  <si>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</si>
  <si>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</si>
  <si>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</si>
  <si>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</si>
  <si>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</si>
  <si>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</si>
  <si>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</si>
  <si>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</si>
  <si>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</si>
  <si>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</si>
  <si>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</si>
  <si>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</si>
  <si>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</si>
  <si>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</si>
  <si>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</si>
  <si>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</si>
  <si>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</si>
  <si>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</si>
  <si>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</si>
  <si>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</si>
  <si>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</si>
  <si>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</si>
  <si>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</si>
  <si>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</si>
  <si>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</si>
  <si>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</si>
  <si>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</si>
  <si>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</si>
  <si>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</si>
  <si>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</si>
  <si>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</si>
  <si>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</si>
  <si>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</si>
  <si>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</si>
  <si>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</si>
  <si>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</si>
  <si>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</si>
  <si>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</si>
  <si>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</si>
  <si>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</si>
  <si>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</si>
  <si>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</si>
  <si>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</si>
  <si>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</si>
  <si>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</si>
  <si>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</si>
  <si>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</si>
  <si>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</si>
  <si>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</si>
  <si>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2021 vs 2020</t>
  </si>
  <si>
    <t>Cuadro N° 3 : Producción de energía eléctrica nacional según  mercado 2021 vs 2020</t>
  </si>
  <si>
    <t>Cuadro N° 4 : Producción de energía eléctrica nacional según destino y recurso 2021 vs 2020</t>
  </si>
  <si>
    <t>Cuadro N° 5: Producción de energía eléctrica nacional por tipo de recurso energético 2021 vs 2020</t>
  </si>
  <si>
    <t>Cuadro N° 6: Producción de energía eléctrica con Recurso Convencional y No Convencional 2021 vs 2020</t>
  </si>
  <si>
    <t>Cuadro N° 7: Producción de energía eléctrica según tipo de participación en el Mercado Eléctrico 2021 vs 2020</t>
  </si>
  <si>
    <t>3.1 Producción de energía eléctrica (GWh) nacional según zona 2021 vs 2020</t>
  </si>
  <si>
    <t>1. RESUMEN NACIONAL AL MES DE OCTUBRE 2021</t>
  </si>
  <si>
    <t>Octubre</t>
  </si>
  <si>
    <t>Enero - Octubre</t>
  </si>
  <si>
    <t>Cuadro N° 8: Producción de energía eléctrica nacional por zona del país, al mes de octubre</t>
  </si>
  <si>
    <t>3.2 Producción de energía eléctrica (GWh) por origen y zona al mes de octubre 2021</t>
  </si>
  <si>
    <t>Octubre 2021</t>
  </si>
  <si>
    <t>Grafico N° 11: Generación de energía eléctrica por Región, al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</si>
</sst>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06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0" fontId="92" fillId="0" borderId="35" xfId="0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0" fontId="92" fillId="69" borderId="80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2" fillId="0" borderId="82" xfId="0" applyFont="1" applyBorder="1" applyAlignment="1">
      <alignment horizontal="center"/>
    </xf>
    <xf numFmtId="0" fontId="92" fillId="69" borderId="82" xfId="0" applyFont="1" applyFill="1" applyBorder="1" applyAlignment="1">
      <alignment horizontal="center"/>
    </xf>
    <xf numFmtId="3" fontId="99" fillId="0" borderId="87" xfId="0" applyNumberFormat="1" applyFont="1" applyBorder="1"/>
    <xf numFmtId="3" fontId="99" fillId="0" borderId="88" xfId="0" applyNumberFormat="1" applyFont="1" applyBorder="1"/>
    <xf numFmtId="3" fontId="95" fillId="70" borderId="85" xfId="0" applyNumberFormat="1" applyFont="1" applyFill="1" applyBorder="1"/>
    <xf numFmtId="178" fontId="98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3" fontId="95" fillId="70" borderId="98" xfId="0" applyNumberFormat="1" applyFont="1" applyFill="1" applyBorder="1" applyAlignment="1">
      <alignment horizontal="center" vertical="center"/>
    </xf>
    <xf numFmtId="178" fontId="98" fillId="70" borderId="99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8" xfId="0" applyNumberFormat="1" applyFont="1" applyBorder="1"/>
    <xf numFmtId="3" fontId="99" fillId="0" borderId="109" xfId="0" applyNumberFormat="1" applyFont="1" applyBorder="1"/>
    <xf numFmtId="3" fontId="95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5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2" xfId="0" applyBorder="1" applyAlignment="1">
      <alignment horizontal="center" vertical="center"/>
    </xf>
    <xf numFmtId="0" fontId="0" fillId="68" borderId="113" xfId="0" applyFill="1" applyBorder="1" applyAlignment="1">
      <alignment wrapText="1"/>
    </xf>
    <xf numFmtId="9" fontId="96" fillId="68" borderId="116" xfId="33743" applyNumberFormat="1" applyFont="1" applyFill="1" applyBorder="1" applyAlignment="1">
      <alignment horizontal="center"/>
    </xf>
    <xf numFmtId="167" fontId="99" fillId="0" borderId="108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5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3" fontId="0" fillId="68" borderId="115" xfId="0" applyNumberFormat="1" applyFill="1" applyBorder="1"/>
    <xf numFmtId="3" fontId="0" fillId="68" borderId="117" xfId="0" applyNumberFormat="1" applyFill="1" applyBorder="1"/>
    <xf numFmtId="3" fontId="0" fillId="0" borderId="103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178" fontId="96" fillId="68" borderId="32" xfId="33743" applyNumberFormat="1" applyFont="1" applyFill="1" applyBorder="1" applyAlignment="1">
      <alignment horizont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6" xfId="33743" applyNumberFormat="1" applyFont="1" applyFill="1" applyBorder="1"/>
    <xf numFmtId="3" fontId="93" fillId="68" borderId="82" xfId="33743" applyNumberFormat="1" applyFont="1" applyFill="1" applyBorder="1"/>
    <xf numFmtId="3" fontId="93" fillId="68" borderId="100" xfId="33743" applyNumberFormat="1" applyFont="1" applyFill="1" applyBorder="1"/>
    <xf numFmtId="3" fontId="95" fillId="69" borderId="85" xfId="0" applyNumberFormat="1" applyFont="1" applyFill="1" applyBorder="1"/>
    <xf numFmtId="178" fontId="76" fillId="0" borderId="73" xfId="33743" applyNumberFormat="1" applyFont="1" applyBorder="1"/>
    <xf numFmtId="0" fontId="92" fillId="69" borderId="118" xfId="0" applyFont="1" applyFill="1" applyBorder="1" applyAlignment="1">
      <alignment horizontal="center"/>
    </xf>
    <xf numFmtId="167" fontId="99" fillId="0" borderId="87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0" fillId="68" borderId="114" xfId="0" applyNumberFormat="1" applyFill="1" applyBorder="1"/>
    <xf numFmtId="167" fontId="99" fillId="0" borderId="86" xfId="0" applyNumberFormat="1" applyFont="1" applyBorder="1"/>
    <xf numFmtId="167" fontId="99" fillId="0" borderId="60" xfId="0" applyNumberFormat="1" applyFont="1" applyBorder="1"/>
    <xf numFmtId="178" fontId="96" fillId="68" borderId="25" xfId="33743" applyNumberFormat="1" applyFont="1" applyFill="1" applyBorder="1" applyAlignment="1">
      <alignment horizontal="center" vertical="center"/>
    </xf>
    <xf numFmtId="4" fontId="0" fillId="68" borderId="63" xfId="0" applyNumberFormat="1" applyFont="1" applyFill="1" applyBorder="1" applyAlignment="1">
      <alignment vertical="center"/>
    </xf>
    <xf numFmtId="167" fontId="0" fillId="68" borderId="30" xfId="0" applyNumberFormat="1" applyFill="1" applyBorder="1"/>
    <xf numFmtId="3" fontId="99" fillId="0" borderId="28" xfId="0" applyNumberFormat="1" applyFont="1" applyBorder="1"/>
    <xf numFmtId="3" fontId="99" fillId="0" borderId="60" xfId="0" applyNumberFormat="1" applyFont="1" applyBorder="1"/>
    <xf numFmtId="4" fontId="0" fillId="68" borderId="84" xfId="0" applyNumberFormat="1" applyFont="1" applyFill="1" applyBorder="1" applyAlignment="1">
      <alignment vertical="center"/>
    </xf>
    <xf numFmtId="178" fontId="96" fillId="68" borderId="32" xfId="33743" applyNumberFormat="1" applyFont="1" applyFill="1" applyBorder="1" applyAlignment="1">
      <alignment horizontal="center" vertical="center"/>
    </xf>
    <xf numFmtId="167" fontId="0" fillId="68" borderId="60" xfId="0" applyNumberFormat="1" applyFill="1" applyBorder="1"/>
    <xf numFmtId="167" fontId="0" fillId="68" borderId="82" xfId="0" applyNumberFormat="1" applyFill="1" applyBorder="1"/>
    <xf numFmtId="182" fontId="99" fillId="0" borderId="78" xfId="0" applyNumberFormat="1" applyFont="1" applyBorder="1"/>
    <xf numFmtId="182" fontId="99" fillId="0" borderId="108" xfId="0" applyNumberFormat="1" applyFont="1" applyBorder="1"/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92" fillId="68" borderId="81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92" fillId="69" borderId="81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4" fontId="0" fillId="68" borderId="27" xfId="0" applyNumberFormat="1" applyFont="1" applyFill="1" applyBorder="1" applyAlignment="1">
      <alignment vertical="center"/>
    </xf>
    <xf numFmtId="9" fontId="96" fillId="0" borderId="32" xfId="33743" applyNumberFormat="1" applyFont="1" applyBorder="1" applyAlignment="1">
      <alignment horizontal="center"/>
    </xf>
    <xf numFmtId="178" fontId="96" fillId="68" borderId="34" xfId="33743" applyNumberFormat="1" applyFont="1" applyFill="1" applyBorder="1" applyAlignment="1">
      <alignment horizontal="center"/>
    </xf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Octubre 2021</a:t>
            </a:r>
          </a:p>
          <a:p>
            <a:pPr>
              <a:defRPr sz="800" b="1"/>
            </a:pPr>
            <a:r>
              <a:rPr lang="es-PE" sz="800" b="1"/>
              <a:t>Total : 4 901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49.530431959473141</c:v>
                </c:pt>
                <c:pt idx="1">
                  <c:v>110.24515500656926</c:v>
                </c:pt>
                <c:pt idx="2">
                  <c:v>2302.2871950741674</c:v>
                </c:pt>
                <c:pt idx="3">
                  <c:v>2184.0402819025448</c:v>
                </c:pt>
                <c:pt idx="4">
                  <c:v>255.38376932500017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1911.4935143426569</c:v>
                </c:pt>
                <c:pt idx="2" formatCode="_ * #,##0.00_ ;_ * \-#,##0.00_ ;_ * &quot;-&quot;??_ ;_ @_ ">
                  <c:v>6.4619999999999999E-3</c:v>
                </c:pt>
                <c:pt idx="3">
                  <c:v>2066.8472663938937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79.954686277499974</c:v>
                </c:pt>
                <c:pt idx="1">
                  <c:v>323.78242745025585</c:v>
                </c:pt>
                <c:pt idx="2">
                  <c:v>80.833426455000037</c:v>
                </c:pt>
                <c:pt idx="3">
                  <c:v>31.521906094115081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34.752180515333336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3978.3472427365505</c:v>
                </c:pt>
                <c:pt idx="1">
                  <c:v>516.09244627687099</c:v>
                </c:pt>
                <c:pt idx="2">
                  <c:v>372.29496373899929</c:v>
                </c:pt>
                <c:pt idx="3">
                  <c:v>34.752180515333336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4902704"/>
        <c:axId val="464905448"/>
      </c:barChart>
      <c:catAx>
        <c:axId val="464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5448"/>
        <c:crosses val="autoZero"/>
        <c:auto val="1"/>
        <c:lblAlgn val="ctr"/>
        <c:lblOffset val="100"/>
        <c:noMultiLvlLbl val="0"/>
      </c:catAx>
      <c:valAx>
        <c:axId val="4649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ANCASH</c:v>
                </c:pt>
                <c:pt idx="5">
                  <c:v>PIURA</c:v>
                </c:pt>
                <c:pt idx="6">
                  <c:v>CUSCO</c:v>
                </c:pt>
                <c:pt idx="7">
                  <c:v>ICA</c:v>
                </c:pt>
                <c:pt idx="8">
                  <c:v>HUANUCO</c:v>
                </c:pt>
                <c:pt idx="9">
                  <c:v>CAJAMARCA</c:v>
                </c:pt>
                <c:pt idx="10">
                  <c:v>LA LIBERTAD</c:v>
                </c:pt>
                <c:pt idx="11">
                  <c:v>AREQUIPA</c:v>
                </c:pt>
                <c:pt idx="12">
                  <c:v>MOQUEGUA</c:v>
                </c:pt>
                <c:pt idx="13">
                  <c:v>PUNO</c:v>
                </c:pt>
                <c:pt idx="14">
                  <c:v>PASCO</c:v>
                </c:pt>
                <c:pt idx="15">
                  <c:v>LORETO</c:v>
                </c:pt>
                <c:pt idx="16">
                  <c:v>UCAYALI</c:v>
                </c:pt>
                <c:pt idx="17">
                  <c:v>TACNA</c:v>
                </c:pt>
                <c:pt idx="18">
                  <c:v>LAMBAYEQUE</c:v>
                </c:pt>
                <c:pt idx="19">
                  <c:v>AMAZONAS</c:v>
                </c:pt>
                <c:pt idx="20">
                  <c:v>SAN MARTÍN</c:v>
                </c:pt>
                <c:pt idx="21">
                  <c:v>APURIMAC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2237.6240402595895</c:v>
                </c:pt>
                <c:pt idx="1">
                  <c:v>781.24968237401072</c:v>
                </c:pt>
                <c:pt idx="2">
                  <c:v>327.90756581500005</c:v>
                </c:pt>
                <c:pt idx="3">
                  <c:v>232.796601459274</c:v>
                </c:pt>
                <c:pt idx="4">
                  <c:v>188.57328936488278</c:v>
                </c:pt>
                <c:pt idx="5">
                  <c:v>135.03547522583867</c:v>
                </c:pt>
                <c:pt idx="6">
                  <c:v>132.16612161916666</c:v>
                </c:pt>
                <c:pt idx="7">
                  <c:v>122.85503118416659</c:v>
                </c:pt>
                <c:pt idx="8">
                  <c:v>121.31796224795998</c:v>
                </c:pt>
                <c:pt idx="9">
                  <c:v>120.55315217999998</c:v>
                </c:pt>
                <c:pt idx="10">
                  <c:v>102.74404040399395</c:v>
                </c:pt>
                <c:pt idx="11">
                  <c:v>101.6949669251933</c:v>
                </c:pt>
                <c:pt idx="12">
                  <c:v>75.881785710000045</c:v>
                </c:pt>
                <c:pt idx="13">
                  <c:v>65.39104097000002</c:v>
                </c:pt>
                <c:pt idx="14">
                  <c:v>63.517554620000013</c:v>
                </c:pt>
                <c:pt idx="15">
                  <c:v>34.752180515333336</c:v>
                </c:pt>
                <c:pt idx="16">
                  <c:v>25.360546595833338</c:v>
                </c:pt>
                <c:pt idx="17">
                  <c:v>14.324666585000003</c:v>
                </c:pt>
                <c:pt idx="18">
                  <c:v>5.2263861491666672</c:v>
                </c:pt>
                <c:pt idx="19">
                  <c:v>4.3639481799999995</c:v>
                </c:pt>
                <c:pt idx="20">
                  <c:v>3.2714136000000003</c:v>
                </c:pt>
                <c:pt idx="21">
                  <c:v>2.8617900000000001</c:v>
                </c:pt>
                <c:pt idx="22">
                  <c:v>1.1005480000000003</c:v>
                </c:pt>
                <c:pt idx="23">
                  <c:v>0.68440044999999994</c:v>
                </c:pt>
                <c:pt idx="24">
                  <c:v>0.23264283334438859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8041840"/>
        <c:axId val="417816528"/>
      </c:barChart>
      <c:catAx>
        <c:axId val="4180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7816528"/>
        <c:crosses val="autoZero"/>
        <c:auto val="1"/>
        <c:lblAlgn val="ctr"/>
        <c:lblOffset val="100"/>
        <c:noMultiLvlLbl val="0"/>
      </c:catAx>
      <c:valAx>
        <c:axId val="41781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8041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2133.6607637015691</c:v>
                </c:pt>
                <c:pt idx="1">
                  <c:v>2377.6611545030701</c:v>
                </c:pt>
                <c:pt idx="2">
                  <c:v>174.10139500000002</c:v>
                </c:pt>
                <c:pt idx="3">
                  <c:v>76.363233999999991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2351.8176270336403</c:v>
                </c:pt>
                <c:pt idx="1">
                  <c:v>2294.2854369091142</c:v>
                </c:pt>
                <c:pt idx="2">
                  <c:v>174.55034287000015</c:v>
                </c:pt>
                <c:pt idx="3">
                  <c:v>80.833426455000037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26392"/>
        <c:axId val="460122864"/>
      </c:barChart>
      <c:catAx>
        <c:axId val="46012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864"/>
        <c:crosses val="autoZero"/>
        <c:auto val="1"/>
        <c:lblAlgn val="ctr"/>
        <c:lblOffset val="100"/>
        <c:noMultiLvlLbl val="0"/>
      </c:catAx>
      <c:valAx>
        <c:axId val="460122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160.62707052921536</c:v>
                </c:pt>
                <c:pt idx="1">
                  <c:v>162.55427661087535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4601.159476675426</c:v>
                </c:pt>
                <c:pt idx="1">
                  <c:v>4738.9325566568796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120904"/>
        <c:axId val="460124824"/>
        <c:axId val="461663336"/>
      </c:bar3DChart>
      <c:catAx>
        <c:axId val="460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  <c:auto val="1"/>
        <c:lblAlgn val="ctr"/>
        <c:lblOffset val="100"/>
        <c:noMultiLvlLbl val="0"/>
      </c:catAx>
      <c:valAx>
        <c:axId val="460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0904"/>
        <c:crosses val="autoZero"/>
        <c:crossBetween val="between"/>
      </c:valAx>
      <c:serAx>
        <c:axId val="46166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2007.0408692190692</c:v>
                </c:pt>
                <c:pt idx="1">
                  <c:v>2188.5243868186408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2317.7073465030703</c:v>
                </c:pt>
                <c:pt idx="1">
                  <c:v>2246.6589713036319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126.61989448249994</c:v>
                </c:pt>
                <c:pt idx="1">
                  <c:v>163.29324021499968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310.41843699999998</c:v>
                </c:pt>
                <c:pt idx="1">
                  <c:v>303.0102349304824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122080"/>
        <c:axId val="460122472"/>
        <c:axId val="0"/>
      </c:bar3DChart>
      <c:catAx>
        <c:axId val="460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472"/>
        <c:crosses val="autoZero"/>
        <c:auto val="1"/>
        <c:lblAlgn val="ctr"/>
        <c:lblOffset val="100"/>
        <c:noMultiLvlLbl val="0"/>
      </c:catAx>
      <c:valAx>
        <c:axId val="4601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0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2351.8176270336403</c:v>
                </c:pt>
                <c:pt idx="1">
                  <c:v>2172.6859745276956</c:v>
                </c:pt>
                <c:pt idx="2">
                  <c:v>73.723042018449632</c:v>
                </c:pt>
                <c:pt idx="3">
                  <c:v>47.626465605482224</c:v>
                </c:pt>
                <c:pt idx="4">
                  <c:v>174.55034287000015</c:v>
                </c:pt>
                <c:pt idx="5">
                  <c:v>80.833426455000037</c:v>
                </c:pt>
                <c:pt idx="6" formatCode="#,##0.0">
                  <c:v>0.24995475748704241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9072"/>
        <c:axId val="119665152"/>
      </c:barChart>
      <c:catAx>
        <c:axId val="119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152"/>
        <c:crosses val="autoZero"/>
        <c:auto val="1"/>
        <c:lblAlgn val="ctr"/>
        <c:lblOffset val="100"/>
        <c:noMultiLvlLbl val="0"/>
      </c:catAx>
      <c:valAx>
        <c:axId val="1196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4451.3681102046412</c:v>
                </c:pt>
                <c:pt idx="1">
                  <c:v>4598.4765983372727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03455004619E-2"/>
                  <c:y val="7.0606119226511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310.41843699999998</c:v>
                </c:pt>
                <c:pt idx="1">
                  <c:v>303.0102349304824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9662016"/>
        <c:axId val="119667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169780653961158E-2"/>
                  <c:y val="-3.5285795421093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8948858280284038E-2"/>
                  <c:y val="3.3553621474176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6.5189490104764977E-2</c:v>
                </c:pt>
                <c:pt idx="1">
                  <c:v>6.1820065061455966E-2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544"/>
        <c:axId val="119669464"/>
      </c:lineChart>
      <c:catAx>
        <c:axId val="119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7896"/>
        <c:crosses val="autoZero"/>
        <c:auto val="1"/>
        <c:lblAlgn val="ctr"/>
        <c:lblOffset val="100"/>
        <c:noMultiLvlLbl val="1"/>
      </c:catAx>
      <c:valAx>
        <c:axId val="119667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2016"/>
        <c:crosses val="autoZero"/>
        <c:crossBetween val="between"/>
        <c:majorUnit val="1000"/>
      </c:valAx>
      <c:valAx>
        <c:axId val="1196694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544"/>
        <c:crosses val="max"/>
        <c:crossBetween val="between"/>
      </c:valAx>
      <c:catAx>
        <c:axId val="119665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1.9573054750651773E-2"/>
                  <c:y val="-8.6756937203049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2133.6607637015691</c:v>
                </c:pt>
                <c:pt idx="1">
                  <c:v>2206.5874240000003</c:v>
                </c:pt>
                <c:pt idx="2">
                  <c:v>110.87892250307232</c:v>
                </c:pt>
                <c:pt idx="3" formatCode="#,##0.00">
                  <c:v>0.24099999999999999</c:v>
                </c:pt>
                <c:pt idx="4">
                  <c:v>59.953807999999981</c:v>
                </c:pt>
                <c:pt idx="5">
                  <c:v>174.10139500000002</c:v>
                </c:pt>
                <c:pt idx="6">
                  <c:v>76.363233999999991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1.1036829278645998E-2"/>
                  <c:y val="-0.128423626653339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2351.8176270336403</c:v>
                </c:pt>
                <c:pt idx="1">
                  <c:v>2172.6859745276956</c:v>
                </c:pt>
                <c:pt idx="2">
                  <c:v>73.723042018449632</c:v>
                </c:pt>
                <c:pt idx="3" formatCode="#,##0.00">
                  <c:v>0.24995475748704241</c:v>
                </c:pt>
                <c:pt idx="4">
                  <c:v>47.626465605482224</c:v>
                </c:pt>
                <c:pt idx="5">
                  <c:v>174.55034287000015</c:v>
                </c:pt>
                <c:pt idx="6">
                  <c:v>80.833426455000037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94.595656592500177</c:v>
                </c:pt>
                <c:pt idx="1">
                  <c:v>116.54168524072797</c:v>
                </c:pt>
                <c:pt idx="2">
                  <c:v>0</c:v>
                </c:pt>
                <c:pt idx="3">
                  <c:v>161.15762190577112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octubre 2021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2021 vs 2020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22594" y="1175964"/>
          <a:ext cx="6862482" cy="236323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68073" y="3335811"/>
          <a:ext cx="4111224" cy="5750960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1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tabSelected="1" view="pageBreakPreview" zoomScaleNormal="120" zoomScaleSheetLayoutView="100" workbookViewId="0">
      <selection activeCell="B1" sqref="B1"/>
    </sheetView>
  </sheetViews>
  <sheetFormatPr baseColWidth="10" defaultColWidth="11.44140625" defaultRowHeight="13.2"/>
  <cols>
    <col min="1" max="1" width="5.33203125" customWidth="1"/>
    <col min="2" max="2" width="2.44140625" style="8" customWidth="1"/>
    <col min="3" max="3" width="12.6640625" style="9" customWidth="1"/>
    <col min="4" max="4" width="12" style="9" customWidth="1"/>
    <col min="5" max="6" width="9.6640625" style="9" customWidth="1"/>
    <col min="7" max="7" width="7.33203125" style="9" customWidth="1"/>
    <col min="8" max="9" width="11.6640625" style="9" customWidth="1"/>
    <col min="10" max="10" width="5.6640625" style="9" customWidth="1"/>
    <col min="11" max="11" width="7.5546875" style="9" customWidth="1"/>
    <col min="12" max="12" width="11.109375" customWidth="1"/>
    <col min="14" max="16" width="11.44140625" style="1"/>
    <col min="17" max="17" width="14.5546875" customWidth="1"/>
    <col min="18" max="18" width="12.44140625" customWidth="1"/>
  </cols>
  <sheetData>
    <row r="2" spans="2:19" ht="13.8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3.8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3.8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30"/>
      <c r="D8" s="130"/>
      <c r="E8" s="130"/>
      <c r="F8" s="130"/>
      <c r="G8" s="130"/>
      <c r="H8" s="9"/>
      <c r="I8" s="9"/>
      <c r="J8" s="9"/>
      <c r="K8" s="9"/>
    </row>
    <row r="9" spans="2:19" s="1" customFormat="1" ht="26.4">
      <c r="B9" s="8"/>
      <c r="C9" s="180" t="s">
        <v>62</v>
      </c>
      <c r="D9" s="181" t="s">
        <v>69</v>
      </c>
      <c r="E9" s="182" t="s">
        <v>70</v>
      </c>
      <c r="F9" s="183" t="s">
        <v>71</v>
      </c>
      <c r="G9" s="184" t="s">
        <v>72</v>
      </c>
      <c r="H9" s="9"/>
      <c r="I9" s="9"/>
      <c r="J9" s="9"/>
      <c r="K9" s="9"/>
    </row>
    <row r="10" spans="2:19" s="1" customFormat="1" ht="13.8" thickBot="1">
      <c r="B10" s="8"/>
      <c r="C10" s="185" t="s">
        <v>63</v>
      </c>
      <c r="D10" s="186"/>
      <c r="E10" s="187"/>
      <c r="F10" s="188"/>
      <c r="G10" s="189"/>
      <c r="H10" s="9"/>
      <c r="I10" s="9"/>
      <c r="J10" s="9"/>
      <c r="K10" s="9"/>
    </row>
    <row r="11" spans="2:19" s="1" customFormat="1" ht="13.8" thickTop="1">
      <c r="B11" s="8"/>
      <c r="C11" s="131"/>
      <c r="D11" s="132"/>
      <c r="E11" s="133"/>
      <c r="F11" s="134"/>
      <c r="G11" s="135"/>
      <c r="H11" s="9"/>
      <c r="I11" s="9"/>
      <c r="J11" s="9"/>
      <c r="K11" s="9"/>
      <c r="Q11" s="377" t="s">
        <v>64</v>
      </c>
      <c r="R11" s="145" t="s">
        <v>41</v>
      </c>
      <c r="S11" s="146">
        <f>E12</f>
        <v>49.530431959473141</v>
      </c>
    </row>
    <row r="12" spans="2:19" s="1" customFormat="1">
      <c r="B12" s="8"/>
      <c r="C12" s="136" t="s">
        <v>66</v>
      </c>
      <c r="D12" s="137">
        <v>2302.2871950741674</v>
      </c>
      <c r="E12" s="138">
        <v>49.530431959473141</v>
      </c>
      <c r="F12" s="139">
        <f>SUM(D12:E12)</f>
        <v>2351.8176270336403</v>
      </c>
      <c r="G12" s="337">
        <f>(F12/F$16)</f>
        <v>0.47981718752587471</v>
      </c>
      <c r="H12" s="9"/>
      <c r="I12" s="9"/>
      <c r="J12" s="9"/>
      <c r="K12" s="9"/>
      <c r="Q12" s="377"/>
      <c r="R12" s="145" t="s">
        <v>73</v>
      </c>
      <c r="S12" s="146">
        <f>E13</f>
        <v>110.24515500656926</v>
      </c>
    </row>
    <row r="13" spans="2:19" s="1" customFormat="1">
      <c r="B13" s="8"/>
      <c r="C13" s="136" t="s">
        <v>65</v>
      </c>
      <c r="D13" s="137">
        <v>2184.0402819025448</v>
      </c>
      <c r="E13" s="138">
        <v>110.24515500656926</v>
      </c>
      <c r="F13" s="139">
        <f>SUM(D13:E13)</f>
        <v>2294.2854369091142</v>
      </c>
      <c r="G13" s="337">
        <f>(F13/F$16)-0.0031</f>
        <v>0.46497948586889198</v>
      </c>
      <c r="H13" s="9"/>
      <c r="I13" s="9"/>
      <c r="J13" s="9"/>
      <c r="K13" s="9"/>
      <c r="Q13" s="377" t="s">
        <v>88</v>
      </c>
      <c r="R13" s="145" t="s">
        <v>41</v>
      </c>
      <c r="S13" s="146">
        <f>D12</f>
        <v>2302.2871950741674</v>
      </c>
    </row>
    <row r="14" spans="2:19" s="1" customFormat="1">
      <c r="B14" s="8"/>
      <c r="C14" s="136" t="s">
        <v>67</v>
      </c>
      <c r="D14" s="137">
        <v>174.55034287000015</v>
      </c>
      <c r="E14" s="140"/>
      <c r="F14" s="139">
        <f>SUM(D14:E14)</f>
        <v>174.55034287000015</v>
      </c>
      <c r="G14" s="337">
        <f>(F14/F$16)</f>
        <v>3.5611713100049236E-2</v>
      </c>
      <c r="H14" s="9"/>
      <c r="I14" s="9"/>
      <c r="J14" s="9"/>
      <c r="K14" s="9"/>
      <c r="Q14" s="377"/>
      <c r="R14" s="145" t="s">
        <v>73</v>
      </c>
      <c r="S14" s="146">
        <f>D13</f>
        <v>2184.0402819025448</v>
      </c>
    </row>
    <row r="15" spans="2:19" s="1" customFormat="1" ht="13.8" thickBot="1">
      <c r="B15" s="8"/>
      <c r="C15" s="141" t="s">
        <v>5</v>
      </c>
      <c r="D15" s="142">
        <v>80.833426455000037</v>
      </c>
      <c r="E15" s="143"/>
      <c r="F15" s="144">
        <f>SUM(D15:E15)</f>
        <v>80.833426455000037</v>
      </c>
      <c r="G15" s="338">
        <f>(F15/F$16)</f>
        <v>1.6491613505183994E-2</v>
      </c>
      <c r="H15" s="9"/>
      <c r="I15" s="9"/>
      <c r="J15" s="9"/>
      <c r="K15" s="9"/>
      <c r="Q15" s="377"/>
      <c r="R15" s="145" t="s">
        <v>87</v>
      </c>
      <c r="S15" s="146">
        <f>SUM(D14:D15)</f>
        <v>255.38376932500017</v>
      </c>
    </row>
    <row r="16" spans="2:19" s="1" customFormat="1" ht="13.8" thickTop="1">
      <c r="B16" s="8"/>
      <c r="C16" s="246" t="s">
        <v>71</v>
      </c>
      <c r="D16" s="247">
        <f>SUM(D12:D15)</f>
        <v>4741.7112463017129</v>
      </c>
      <c r="E16" s="248">
        <f>SUM(E12:E15)</f>
        <v>159.7755869660424</v>
      </c>
      <c r="F16" s="249">
        <f>SUM(F12:F15)</f>
        <v>4901.4868332677552</v>
      </c>
      <c r="G16" s="250"/>
      <c r="H16" s="9"/>
      <c r="I16" s="9"/>
      <c r="J16" s="9"/>
      <c r="K16" s="9"/>
    </row>
    <row r="17" spans="2:19" s="1" customFormat="1">
      <c r="B17" s="8"/>
      <c r="C17" s="251" t="s">
        <v>109</v>
      </c>
      <c r="D17" s="318">
        <f>D16/F16</f>
        <v>0.96740262854903514</v>
      </c>
      <c r="E17" s="319">
        <f>E16/F16</f>
        <v>3.2597371450964842E-2</v>
      </c>
      <c r="F17" s="252"/>
      <c r="G17" s="253"/>
      <c r="H17" s="9"/>
      <c r="I17" s="9"/>
      <c r="J17" s="9"/>
      <c r="K17" s="9"/>
    </row>
    <row r="18" spans="2:19" s="1" customFormat="1">
      <c r="B18" s="8"/>
      <c r="C18" s="131"/>
      <c r="D18" s="131"/>
      <c r="E18" s="131"/>
      <c r="F18" s="131"/>
      <c r="G18" s="131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8" thickBot="1">
      <c r="B22" s="8"/>
      <c r="C22" s="131"/>
      <c r="D22" s="131"/>
      <c r="E22" s="131"/>
      <c r="F22" s="131"/>
      <c r="G22" s="131"/>
      <c r="H22" s="130"/>
      <c r="I22" s="130"/>
      <c r="J22" s="130"/>
      <c r="K22" s="9"/>
    </row>
    <row r="23" spans="2:19" s="1" customFormat="1" ht="12.75" customHeight="1">
      <c r="B23" s="8"/>
      <c r="C23" s="384" t="s">
        <v>112</v>
      </c>
      <c r="D23" s="385"/>
      <c r="E23" s="378" t="s">
        <v>126</v>
      </c>
      <c r="F23" s="379"/>
      <c r="G23" s="150" t="s">
        <v>74</v>
      </c>
      <c r="H23" s="382" t="s">
        <v>127</v>
      </c>
      <c r="I23" s="383"/>
      <c r="J23" s="150" t="s">
        <v>74</v>
      </c>
      <c r="K23" s="9"/>
      <c r="Q23" s="145"/>
      <c r="R23" s="145">
        <v>2020</v>
      </c>
      <c r="S23" s="145">
        <v>2021</v>
      </c>
    </row>
    <row r="24" spans="2:19" s="1" customFormat="1" ht="12.75" customHeight="1">
      <c r="B24" s="8"/>
      <c r="C24" s="151"/>
      <c r="D24" s="152"/>
      <c r="E24" s="153">
        <v>2020</v>
      </c>
      <c r="F24" s="154">
        <v>2021</v>
      </c>
      <c r="G24" s="155"/>
      <c r="H24" s="235">
        <v>2020</v>
      </c>
      <c r="I24" s="154">
        <v>2021</v>
      </c>
      <c r="J24" s="155"/>
      <c r="K24" s="9"/>
      <c r="Q24" s="145" t="s">
        <v>76</v>
      </c>
      <c r="R24" s="146">
        <f>E29</f>
        <v>160.62707052921536</v>
      </c>
      <c r="S24" s="146">
        <f>F29</f>
        <v>162.55427661087535</v>
      </c>
    </row>
    <row r="25" spans="2:19" s="1" customFormat="1">
      <c r="B25" s="8"/>
      <c r="C25" s="373" t="s">
        <v>0</v>
      </c>
      <c r="D25" s="374"/>
      <c r="E25" s="190">
        <f>SUM(E26:E28)</f>
        <v>4601.159476675426</v>
      </c>
      <c r="F25" s="191">
        <f>SUM(F26:F28)</f>
        <v>4738.9325566568796</v>
      </c>
      <c r="G25" s="192">
        <f>((F25/E25)-1)</f>
        <v>2.9943122093434082E-2</v>
      </c>
      <c r="H25" s="236">
        <f>SUM(H26:H28)</f>
        <v>41461.228423039742</v>
      </c>
      <c r="I25" s="191">
        <f>SUM(I26:I28)</f>
        <v>46037.914337278373</v>
      </c>
      <c r="J25" s="192">
        <f>((I25/H25)-1)</f>
        <v>0.1103847157527873</v>
      </c>
      <c r="K25" s="9"/>
      <c r="Q25" s="145" t="s">
        <v>0</v>
      </c>
      <c r="R25" s="146">
        <f>E25</f>
        <v>4601.159476675426</v>
      </c>
      <c r="S25" s="146">
        <f>F25</f>
        <v>4738.9325566568796</v>
      </c>
    </row>
    <row r="26" spans="2:19" s="1" customFormat="1">
      <c r="B26" s="8"/>
      <c r="C26" s="266" t="s">
        <v>62</v>
      </c>
      <c r="D26" s="275" t="s">
        <v>102</v>
      </c>
      <c r="E26" s="157">
        <v>4466.7149363425015</v>
      </c>
      <c r="F26" s="158">
        <v>4618.9009250224981</v>
      </c>
      <c r="G26" s="159">
        <f t="shared" ref="G26:G32" si="0">((F26/E26)-1)</f>
        <v>3.4071121808505689E-2</v>
      </c>
      <c r="H26" s="237">
        <v>40226.213578859992</v>
      </c>
      <c r="I26" s="158">
        <v>44766.535530728994</v>
      </c>
      <c r="J26" s="159">
        <f t="shared" ref="J26:J32" si="1">((I26/H26)-1)</f>
        <v>0.11286973214538554</v>
      </c>
      <c r="K26" s="9"/>
    </row>
    <row r="27" spans="2:19" s="1" customFormat="1">
      <c r="B27" s="8"/>
      <c r="C27" s="267" t="s">
        <v>106</v>
      </c>
      <c r="D27" s="276" t="s">
        <v>77</v>
      </c>
      <c r="E27" s="269">
        <v>93.227323411732243</v>
      </c>
      <c r="F27" s="270">
        <v>80.044439594032383</v>
      </c>
      <c r="G27" s="279">
        <f t="shared" si="0"/>
        <v>-0.14140579537480158</v>
      </c>
      <c r="H27" s="271">
        <v>852.86990529091963</v>
      </c>
      <c r="I27" s="270">
        <v>866.99783059703236</v>
      </c>
      <c r="J27" s="279">
        <f t="shared" si="1"/>
        <v>1.6565158670118096E-2</v>
      </c>
      <c r="K27" s="9"/>
    </row>
    <row r="28" spans="2:19" s="1" customFormat="1">
      <c r="B28" s="8"/>
      <c r="C28" s="268" t="s">
        <v>64</v>
      </c>
      <c r="D28" s="277" t="s">
        <v>77</v>
      </c>
      <c r="E28" s="157">
        <v>41.21721692119241</v>
      </c>
      <c r="F28" s="158">
        <v>39.98719204034937</v>
      </c>
      <c r="G28" s="278">
        <f t="shared" si="0"/>
        <v>-2.9842502059148179E-2</v>
      </c>
      <c r="H28" s="237">
        <v>382.144938888826</v>
      </c>
      <c r="I28" s="158">
        <v>404.38097595234933</v>
      </c>
      <c r="J28" s="278">
        <f t="shared" si="1"/>
        <v>5.8187443560497432E-2</v>
      </c>
      <c r="K28" s="9"/>
    </row>
    <row r="29" spans="2:19" s="1" customFormat="1">
      <c r="B29" s="8"/>
      <c r="C29" s="373" t="s">
        <v>76</v>
      </c>
      <c r="D29" s="374"/>
      <c r="E29" s="190">
        <f>SUM(E30:E31)</f>
        <v>160.62707052921536</v>
      </c>
      <c r="F29" s="191">
        <f>SUM(F30:F31)</f>
        <v>162.55427661087535</v>
      </c>
      <c r="G29" s="192">
        <f t="shared" si="0"/>
        <v>1.1998015498324577E-2</v>
      </c>
      <c r="H29" s="236">
        <f>SUM(H30:H31)</f>
        <v>1722.7781146291686</v>
      </c>
      <c r="I29" s="191">
        <f>SUM(I30:I31)</f>
        <v>1538.2145085456852</v>
      </c>
      <c r="J29" s="192">
        <f t="shared" si="1"/>
        <v>-0.10713138535731348</v>
      </c>
      <c r="K29" s="9"/>
      <c r="Q29" s="145"/>
      <c r="R29" s="145"/>
      <c r="S29" s="145"/>
    </row>
    <row r="30" spans="2:19" s="1" customFormat="1">
      <c r="B30" s="8"/>
      <c r="C30" s="272" t="s">
        <v>68</v>
      </c>
      <c r="D30" s="152"/>
      <c r="E30" s="157">
        <v>40.462516715146151</v>
      </c>
      <c r="F30" s="158">
        <v>42.765881685182308</v>
      </c>
      <c r="G30" s="278">
        <f t="shared" si="0"/>
        <v>5.692589480411514E-2</v>
      </c>
      <c r="H30" s="237">
        <v>374.13614200136203</v>
      </c>
      <c r="I30" s="158">
        <v>399.97594541568242</v>
      </c>
      <c r="J30" s="278">
        <f t="shared" si="1"/>
        <v>6.9065242604191779E-2</v>
      </c>
      <c r="K30" s="9"/>
    </row>
    <row r="31" spans="2:19" s="1" customFormat="1" ht="13.8" thickBot="1">
      <c r="B31" s="8"/>
      <c r="C31" s="273" t="s">
        <v>64</v>
      </c>
      <c r="D31" s="274"/>
      <c r="E31" s="161">
        <v>120.16455381406921</v>
      </c>
      <c r="F31" s="162">
        <v>119.78839492569304</v>
      </c>
      <c r="G31" s="405">
        <f t="shared" si="0"/>
        <v>-3.1303647909199928E-3</v>
      </c>
      <c r="H31" s="238">
        <v>1348.6419726278066</v>
      </c>
      <c r="I31" s="162">
        <v>1138.2385631300028</v>
      </c>
      <c r="J31" s="302">
        <f t="shared" si="1"/>
        <v>-0.15601131639692056</v>
      </c>
      <c r="K31" s="9"/>
    </row>
    <row r="32" spans="2:19" s="1" customFormat="1" ht="14.4" thickTop="1" thickBot="1">
      <c r="B32" s="8"/>
      <c r="C32" s="368" t="s">
        <v>108</v>
      </c>
      <c r="D32" s="369"/>
      <c r="E32" s="193">
        <f>SUM(E25,E29)</f>
        <v>4761.7865472046415</v>
      </c>
      <c r="F32" s="194">
        <f>SUM(F25,F29)</f>
        <v>4901.4868332677552</v>
      </c>
      <c r="G32" s="195">
        <f t="shared" si="0"/>
        <v>2.9337788386403663E-2</v>
      </c>
      <c r="H32" s="239">
        <f>SUM(H25,H29)</f>
        <v>43184.006537668909</v>
      </c>
      <c r="I32" s="194">
        <f>SUM(I25,I29)</f>
        <v>47576.12884582406</v>
      </c>
      <c r="J32" s="195">
        <f t="shared" si="1"/>
        <v>0.10170715179759782</v>
      </c>
      <c r="K32" s="9"/>
    </row>
    <row r="33" spans="2:19" s="1" customFormat="1">
      <c r="B33" s="8"/>
      <c r="C33" s="313" t="s">
        <v>103</v>
      </c>
      <c r="D33" s="164"/>
      <c r="E33" s="164"/>
      <c r="F33" s="165"/>
      <c r="G33" s="130"/>
      <c r="H33" s="164"/>
      <c r="I33" s="164"/>
      <c r="J33" s="130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119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8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8"/>
      <c r="D38" s="149"/>
      <c r="E38" s="378" t="s">
        <v>126</v>
      </c>
      <c r="F38" s="379"/>
      <c r="G38" s="380" t="s">
        <v>74</v>
      </c>
      <c r="H38" s="382" t="s">
        <v>127</v>
      </c>
      <c r="I38" s="383"/>
      <c r="J38" s="380" t="s">
        <v>74</v>
      </c>
      <c r="K38" s="9"/>
      <c r="Q38" s="145"/>
      <c r="R38" s="145">
        <v>2020</v>
      </c>
      <c r="S38" s="145">
        <v>2021</v>
      </c>
    </row>
    <row r="39" spans="2:19" s="1" customFormat="1" ht="12.75" customHeight="1">
      <c r="B39" s="8"/>
      <c r="C39" s="151" t="s">
        <v>75</v>
      </c>
      <c r="D39" s="152"/>
      <c r="E39" s="153">
        <v>2020</v>
      </c>
      <c r="F39" s="154">
        <v>2021</v>
      </c>
      <c r="G39" s="381"/>
      <c r="H39" s="240">
        <v>2020</v>
      </c>
      <c r="I39" s="93">
        <v>2021</v>
      </c>
      <c r="J39" s="381"/>
      <c r="K39" s="9"/>
      <c r="Q39" s="145" t="s">
        <v>66</v>
      </c>
      <c r="R39" s="146">
        <f>SUM(E41,E46)</f>
        <v>2133.6607637015691</v>
      </c>
      <c r="S39" s="146">
        <f>SUM(F41,F46)</f>
        <v>2351.8176270336403</v>
      </c>
    </row>
    <row r="40" spans="2:19" s="1" customFormat="1">
      <c r="B40" s="8"/>
      <c r="C40" s="373" t="s">
        <v>68</v>
      </c>
      <c r="D40" s="374"/>
      <c r="E40" s="190">
        <f>SUM(E41:E44)</f>
        <v>4600.4047764693778</v>
      </c>
      <c r="F40" s="191">
        <f>SUM(F41:F44)</f>
        <v>4741.7112463017129</v>
      </c>
      <c r="G40" s="192">
        <f>((F40/E40)-1)</f>
        <v>3.0716094930407944E-2</v>
      </c>
      <c r="H40" s="236">
        <f>SUM(H41:H44)</f>
        <v>41453.219626152284</v>
      </c>
      <c r="I40" s="191">
        <f>SUM(I41:I44)</f>
        <v>46033.509306741718</v>
      </c>
      <c r="J40" s="192">
        <f>((I40/H40)-1)</f>
        <v>0.11049297791334389</v>
      </c>
      <c r="K40" s="9"/>
      <c r="Q40" s="145" t="s">
        <v>65</v>
      </c>
      <c r="R40" s="146">
        <f>SUM(E42,E47)</f>
        <v>2377.6611545030701</v>
      </c>
      <c r="S40" s="146">
        <f>SUM(F42,F47)</f>
        <v>2294.2854369091142</v>
      </c>
    </row>
    <row r="41" spans="2:19" s="1" customFormat="1">
      <c r="B41" s="8"/>
      <c r="C41" s="156" t="s">
        <v>66</v>
      </c>
      <c r="D41" s="131"/>
      <c r="E41" s="157">
        <v>2091.0703234693779</v>
      </c>
      <c r="F41" s="158">
        <f>D12</f>
        <v>2302.2871950741674</v>
      </c>
      <c r="G41" s="278">
        <f t="shared" ref="G41:G48" si="2">((F41/E41)-1)</f>
        <v>0.10100897575474699</v>
      </c>
      <c r="H41" s="237">
        <v>25296.528793152283</v>
      </c>
      <c r="I41" s="158">
        <v>25846.348945388163</v>
      </c>
      <c r="J41" s="278">
        <f t="shared" ref="J41:J48" si="3">((I41/H41)-1)</f>
        <v>2.1735003910288153E-2</v>
      </c>
      <c r="K41" s="9"/>
      <c r="Q41" s="145" t="s">
        <v>67</v>
      </c>
      <c r="R41" s="146">
        <f>E43</f>
        <v>174.10139500000002</v>
      </c>
      <c r="S41" s="146">
        <f>F43</f>
        <v>174.55034287000015</v>
      </c>
    </row>
    <row r="42" spans="2:19" s="1" customFormat="1">
      <c r="B42" s="8"/>
      <c r="C42" s="156" t="s">
        <v>65</v>
      </c>
      <c r="D42" s="131"/>
      <c r="E42" s="157">
        <v>2258.8698239999999</v>
      </c>
      <c r="F42" s="158">
        <f>D13</f>
        <v>2184.0402819025448</v>
      </c>
      <c r="G42" s="278">
        <f t="shared" si="2"/>
        <v>-3.3126982928545656E-2</v>
      </c>
      <c r="H42" s="237">
        <v>14025.357048</v>
      </c>
      <c r="I42" s="158">
        <v>18037.349340983546</v>
      </c>
      <c r="J42" s="278">
        <f t="shared" si="3"/>
        <v>0.2860527742183685</v>
      </c>
      <c r="K42" s="9"/>
      <c r="Q42" s="145" t="s">
        <v>5</v>
      </c>
      <c r="R42" s="146">
        <f>E44</f>
        <v>76.363233999999991</v>
      </c>
      <c r="S42" s="146">
        <f>F44</f>
        <v>80.833426455000037</v>
      </c>
    </row>
    <row r="43" spans="2:19" s="1" customFormat="1">
      <c r="B43" s="8"/>
      <c r="C43" s="156" t="s">
        <v>67</v>
      </c>
      <c r="D43" s="131"/>
      <c r="E43" s="157">
        <v>174.10139500000002</v>
      </c>
      <c r="F43" s="158">
        <f>D14</f>
        <v>174.55034287000015</v>
      </c>
      <c r="G43" s="335">
        <f t="shared" si="2"/>
        <v>2.5786575116191202E-3</v>
      </c>
      <c r="H43" s="237">
        <v>1508.4386209999998</v>
      </c>
      <c r="I43" s="158">
        <v>1497.7469446924999</v>
      </c>
      <c r="J43" s="278">
        <f t="shared" si="3"/>
        <v>-7.087909417495486E-3</v>
      </c>
      <c r="K43" s="9"/>
    </row>
    <row r="44" spans="2:19" s="1" customFormat="1">
      <c r="B44" s="8"/>
      <c r="C44" s="156" t="s">
        <v>5</v>
      </c>
      <c r="D44" s="131"/>
      <c r="E44" s="157">
        <v>76.363233999999991</v>
      </c>
      <c r="F44" s="158">
        <f>D15</f>
        <v>80.833426455000037</v>
      </c>
      <c r="G44" s="404">
        <f t="shared" si="2"/>
        <v>5.8538542972133012E-2</v>
      </c>
      <c r="H44" s="237">
        <v>622.89516399999991</v>
      </c>
      <c r="I44" s="158">
        <v>652.06407567750011</v>
      </c>
      <c r="J44" s="159">
        <f t="shared" si="3"/>
        <v>4.6827962975644732E-2</v>
      </c>
      <c r="K44" s="9"/>
      <c r="Q44" s="145"/>
      <c r="R44" s="145"/>
      <c r="S44" s="145"/>
    </row>
    <row r="45" spans="2:19" s="1" customFormat="1">
      <c r="B45" s="8"/>
      <c r="C45" s="373" t="s">
        <v>64</v>
      </c>
      <c r="D45" s="374"/>
      <c r="E45" s="190">
        <f>SUM(E46:E47)</f>
        <v>161.38177073526163</v>
      </c>
      <c r="F45" s="191">
        <f>SUM(F46:F47)</f>
        <v>159.7755869660424</v>
      </c>
      <c r="G45" s="192">
        <f t="shared" si="2"/>
        <v>-9.9526964036978915E-3</v>
      </c>
      <c r="H45" s="236">
        <f>SUM(H46:H47)</f>
        <v>1730.7869115166327</v>
      </c>
      <c r="I45" s="191">
        <f>SUM(I46:I47)</f>
        <v>1542.6195390823523</v>
      </c>
      <c r="J45" s="192">
        <f t="shared" si="3"/>
        <v>-0.1087178156838472</v>
      </c>
      <c r="K45" s="9"/>
    </row>
    <row r="46" spans="2:19" s="1" customFormat="1">
      <c r="B46" s="8"/>
      <c r="C46" s="156" t="s">
        <v>66</v>
      </c>
      <c r="D46" s="131"/>
      <c r="E46" s="157">
        <v>42.590440232191426</v>
      </c>
      <c r="F46" s="158">
        <f>E12</f>
        <v>49.530431959473141</v>
      </c>
      <c r="G46" s="159">
        <f t="shared" si="2"/>
        <v>0.16294717052575125</v>
      </c>
      <c r="H46" s="237">
        <v>508.85103925901092</v>
      </c>
      <c r="I46" s="158">
        <v>542.92443484493413</v>
      </c>
      <c r="J46" s="159">
        <f t="shared" si="3"/>
        <v>6.6961434598897362E-2</v>
      </c>
      <c r="K46" s="9"/>
    </row>
    <row r="47" spans="2:19" s="1" customFormat="1" ht="13.8" thickBot="1">
      <c r="B47" s="8"/>
      <c r="C47" s="160" t="s">
        <v>65</v>
      </c>
      <c r="D47" s="131"/>
      <c r="E47" s="161">
        <v>118.7913305030702</v>
      </c>
      <c r="F47" s="162">
        <f>E13</f>
        <v>110.24515500656926</v>
      </c>
      <c r="G47" s="302">
        <f t="shared" si="2"/>
        <v>-7.1942754242322882E-2</v>
      </c>
      <c r="H47" s="238">
        <v>1221.9358722576219</v>
      </c>
      <c r="I47" s="162">
        <v>999.69510423741826</v>
      </c>
      <c r="J47" s="163">
        <f t="shared" si="3"/>
        <v>-0.18187596670649864</v>
      </c>
      <c r="K47" s="9"/>
    </row>
    <row r="48" spans="2:19" s="1" customFormat="1" ht="14.4" thickTop="1" thickBot="1">
      <c r="B48" s="8"/>
      <c r="C48" s="368" t="s">
        <v>108</v>
      </c>
      <c r="D48" s="369"/>
      <c r="E48" s="193">
        <f>SUM(E40,E45)</f>
        <v>4761.7865472046396</v>
      </c>
      <c r="F48" s="194">
        <f>SUM(F40,F45)</f>
        <v>4901.4868332677552</v>
      </c>
      <c r="G48" s="195">
        <f t="shared" si="2"/>
        <v>2.9337788386404107E-2</v>
      </c>
      <c r="H48" s="239">
        <f>SUM(H40,H45)</f>
        <v>43184.006537668916</v>
      </c>
      <c r="I48" s="194">
        <f>SUM(I40,I45)</f>
        <v>47576.128845824074</v>
      </c>
      <c r="J48" s="195">
        <f t="shared" si="3"/>
        <v>0.10170715179759804</v>
      </c>
      <c r="K48" s="9"/>
    </row>
    <row r="49" spans="2:23" s="1" customFormat="1">
      <c r="B49" s="8"/>
      <c r="C49" s="264"/>
      <c r="D49" s="90"/>
      <c r="E49" s="91"/>
      <c r="F49" s="91"/>
      <c r="G49" s="94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4"/>
      <c r="H50" s="9"/>
      <c r="I50" s="9"/>
      <c r="J50" s="9"/>
      <c r="K50" s="9"/>
    </row>
    <row r="51" spans="2:23" s="1" customFormat="1">
      <c r="B51" s="8"/>
      <c r="C51" s="10" t="s">
        <v>120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9"/>
    </row>
    <row r="53" spans="2:23" s="1" customFormat="1" ht="13.8" thickBot="1">
      <c r="B53" s="8"/>
      <c r="C53" s="10"/>
      <c r="H53" s="9"/>
      <c r="I53" s="9"/>
      <c r="J53" s="9"/>
      <c r="K53" s="9"/>
      <c r="L53" s="259"/>
      <c r="M53" s="259"/>
    </row>
    <row r="54" spans="2:23" s="1" customFormat="1" ht="12.75" customHeight="1">
      <c r="B54" s="8"/>
      <c r="C54" s="148"/>
      <c r="D54" s="149"/>
      <c r="E54" s="378" t="s">
        <v>126</v>
      </c>
      <c r="F54" s="379"/>
      <c r="G54" s="380" t="s">
        <v>74</v>
      </c>
      <c r="H54" s="382" t="s">
        <v>127</v>
      </c>
      <c r="I54" s="383"/>
      <c r="J54" s="380" t="s">
        <v>74</v>
      </c>
      <c r="K54" s="9"/>
      <c r="L54" s="259"/>
      <c r="M54" s="259"/>
    </row>
    <row r="55" spans="2:23" s="1" customFormat="1" ht="12.75" customHeight="1">
      <c r="B55" s="8"/>
      <c r="C55" s="151" t="s">
        <v>75</v>
      </c>
      <c r="D55" s="152"/>
      <c r="E55" s="153">
        <v>2020</v>
      </c>
      <c r="F55" s="154">
        <v>2021</v>
      </c>
      <c r="G55" s="381"/>
      <c r="H55" s="240">
        <v>2020</v>
      </c>
      <c r="I55" s="93">
        <v>2021</v>
      </c>
      <c r="J55" s="381"/>
      <c r="K55" s="9"/>
      <c r="L55" s="259"/>
      <c r="M55" s="259"/>
    </row>
    <row r="56" spans="2:23" s="1" customFormat="1">
      <c r="B56" s="8"/>
      <c r="C56" s="373" t="s">
        <v>68</v>
      </c>
      <c r="D56" s="374"/>
      <c r="E56" s="190">
        <f>SUM(E57:E60)</f>
        <v>4600.4047764693778</v>
      </c>
      <c r="F56" s="191">
        <f>SUM(F57:F60)</f>
        <v>4741.7112463017129</v>
      </c>
      <c r="G56" s="192">
        <f>((F56/E56)-1)</f>
        <v>3.0716094930407944E-2</v>
      </c>
      <c r="H56" s="236">
        <f>SUM(H57:H60)</f>
        <v>41453.219626152277</v>
      </c>
      <c r="I56" s="191">
        <f>SUM(I57:I60)</f>
        <v>46033.509306741704</v>
      </c>
      <c r="J56" s="192">
        <f>((I56/H56)-1)</f>
        <v>0.11049297791334367</v>
      </c>
      <c r="K56" s="9"/>
    </row>
    <row r="57" spans="2:23" s="1" customFormat="1" ht="26.4">
      <c r="B57" s="8"/>
      <c r="C57" s="371" t="s">
        <v>78</v>
      </c>
      <c r="D57" s="280" t="s">
        <v>79</v>
      </c>
      <c r="E57" s="326">
        <f>SUM(E43:E44)+37.041884</f>
        <v>287.50651299999998</v>
      </c>
      <c r="F57" s="327">
        <f>SUM(F43:F44)+27.2270384357582</f>
        <v>282.61080776075835</v>
      </c>
      <c r="G57" s="170">
        <f t="shared" ref="G57:G65" si="4">((F57/E57)-1)</f>
        <v>-1.7028154208254875E-2</v>
      </c>
      <c r="H57" s="328">
        <f>SUM(H43:H44)+233.617545</f>
        <v>2364.9513299999999</v>
      </c>
      <c r="I57" s="327">
        <f>SUM(I43:I44)+282.314923248258</f>
        <v>2432.1259436182577</v>
      </c>
      <c r="J57" s="170">
        <f t="shared" ref="J57:J65" si="5">((I57/H57)-1)</f>
        <v>2.8404226660452059E-2</v>
      </c>
      <c r="K57" s="9"/>
      <c r="L57" s="259"/>
      <c r="Q57" s="145"/>
      <c r="R57" s="145"/>
      <c r="T57" s="145">
        <v>2020</v>
      </c>
      <c r="U57" s="145">
        <v>2021</v>
      </c>
      <c r="V57" s="145"/>
      <c r="W57" s="145"/>
    </row>
    <row r="58" spans="2:23" s="1" customFormat="1" ht="13.8">
      <c r="B58" s="8"/>
      <c r="C58" s="372"/>
      <c r="D58" s="281" t="s">
        <v>110</v>
      </c>
      <c r="E58" s="269">
        <v>126.61989448249994</v>
      </c>
      <c r="F58" s="331">
        <v>163.29324021499968</v>
      </c>
      <c r="G58" s="279">
        <f t="shared" si="4"/>
        <v>0.28963336197984546</v>
      </c>
      <c r="H58" s="271">
        <v>1739.0385378550002</v>
      </c>
      <c r="I58" s="270">
        <v>1884.7498693774992</v>
      </c>
      <c r="J58" s="279">
        <f t="shared" si="5"/>
        <v>8.3788443068216978E-2</v>
      </c>
      <c r="K58" s="9"/>
      <c r="L58" s="259"/>
      <c r="M58" s="259"/>
      <c r="Q58" s="377" t="s">
        <v>80</v>
      </c>
      <c r="R58" s="145" t="s">
        <v>66</v>
      </c>
      <c r="T58" s="146">
        <f>SUM(E60,E64)</f>
        <v>2007.0408692190692</v>
      </c>
      <c r="U58" s="146">
        <f>SUM(F60,F64)</f>
        <v>2188.5243868186408</v>
      </c>
      <c r="V58" s="147">
        <f t="shared" ref="V58:W61" si="6">T58/T$64</f>
        <v>0.42148904603825282</v>
      </c>
      <c r="W58" s="147">
        <f t="shared" si="6"/>
        <v>0.44650214542340838</v>
      </c>
    </row>
    <row r="59" spans="2:23" s="1" customFormat="1">
      <c r="B59" s="8"/>
      <c r="C59" s="370" t="s">
        <v>80</v>
      </c>
      <c r="D59" s="282" t="s">
        <v>81</v>
      </c>
      <c r="E59" s="157">
        <f>SUM(E42:E44)-E57</f>
        <v>2221.8279400000001</v>
      </c>
      <c r="F59" s="158">
        <f>SUM(F42:F44)-F57</f>
        <v>2156.8132434667868</v>
      </c>
      <c r="G59" s="278">
        <f t="shared" si="4"/>
        <v>-2.9261805274270358E-2</v>
      </c>
      <c r="H59" s="237">
        <f>SUM(H42:H44)-H57</f>
        <v>13791.739502999999</v>
      </c>
      <c r="I59" s="158">
        <f>SUM(I42:I44)-I57</f>
        <v>17755.034417735285</v>
      </c>
      <c r="J59" s="278">
        <f t="shared" si="5"/>
        <v>0.28736729793027083</v>
      </c>
      <c r="K59" s="9"/>
      <c r="Q59" s="377"/>
      <c r="R59" s="145" t="s">
        <v>65</v>
      </c>
      <c r="T59" s="146">
        <f>SUM(E59,E63)</f>
        <v>2317.7073465030703</v>
      </c>
      <c r="U59" s="146">
        <f>SUM(F59,F63)</f>
        <v>2246.6589713036319</v>
      </c>
      <c r="V59" s="147">
        <f t="shared" si="6"/>
        <v>0.48673062589579069</v>
      </c>
      <c r="W59" s="147">
        <f t="shared" si="6"/>
        <v>0.45836274741266919</v>
      </c>
    </row>
    <row r="60" spans="2:23" s="1" customFormat="1">
      <c r="B60" s="8"/>
      <c r="C60" s="370"/>
      <c r="D60" s="283" t="s">
        <v>41</v>
      </c>
      <c r="E60" s="157">
        <f>E41-E58</f>
        <v>1964.4504289868778</v>
      </c>
      <c r="F60" s="158">
        <f>F41-F58</f>
        <v>2138.9939548591678</v>
      </c>
      <c r="G60" s="159">
        <f t="shared" si="4"/>
        <v>8.8851071677235938E-2</v>
      </c>
      <c r="H60" s="237">
        <f>H41-H58</f>
        <v>23557.490255297282</v>
      </c>
      <c r="I60" s="158">
        <f>I41-I58</f>
        <v>23961.599076010665</v>
      </c>
      <c r="J60" s="278">
        <f t="shared" si="5"/>
        <v>1.7154154213117501E-2</v>
      </c>
      <c r="K60" s="9"/>
      <c r="Q60" s="377" t="s">
        <v>78</v>
      </c>
      <c r="R60" s="145" t="s">
        <v>66</v>
      </c>
      <c r="T60" s="146">
        <f>E58</f>
        <v>126.61989448249994</v>
      </c>
      <c r="U60" s="146">
        <f>F58</f>
        <v>163.29324021499968</v>
      </c>
      <c r="V60" s="147">
        <f t="shared" si="6"/>
        <v>2.6590837961191459E-2</v>
      </c>
      <c r="W60" s="147">
        <f t="shared" si="6"/>
        <v>3.3315042102466344E-2</v>
      </c>
    </row>
    <row r="61" spans="2:23" s="1" customFormat="1">
      <c r="B61" s="8"/>
      <c r="C61" s="373" t="s">
        <v>64</v>
      </c>
      <c r="D61" s="374"/>
      <c r="E61" s="190">
        <f>SUM(E62:E64)</f>
        <v>161.38177073526163</v>
      </c>
      <c r="F61" s="191">
        <f>SUM(F62:F64)</f>
        <v>159.7755869660424</v>
      </c>
      <c r="G61" s="192">
        <f t="shared" si="4"/>
        <v>-9.9526964036978915E-3</v>
      </c>
      <c r="H61" s="236">
        <f>SUM(H62:H64)</f>
        <v>1730.7869115166327</v>
      </c>
      <c r="I61" s="191">
        <f>SUM(I62:I64)</f>
        <v>1542.6195390823523</v>
      </c>
      <c r="J61" s="192">
        <f t="shared" si="5"/>
        <v>-0.1087178156838472</v>
      </c>
      <c r="K61" s="9"/>
      <c r="Q61" s="377"/>
      <c r="R61" s="145" t="s">
        <v>89</v>
      </c>
      <c r="T61" s="146">
        <f>E57+E62</f>
        <v>310.41843699999998</v>
      </c>
      <c r="U61" s="146">
        <f>F57+F62</f>
        <v>303.0102349304824</v>
      </c>
      <c r="V61" s="147">
        <f t="shared" si="6"/>
        <v>6.5189490104765005E-2</v>
      </c>
      <c r="W61" s="147">
        <f t="shared" si="6"/>
        <v>6.1820065061455966E-2</v>
      </c>
    </row>
    <row r="62" spans="2:23" s="1" customFormat="1">
      <c r="B62" s="8"/>
      <c r="C62" s="314" t="s">
        <v>78</v>
      </c>
      <c r="D62" s="315" t="s">
        <v>114</v>
      </c>
      <c r="E62" s="354">
        <v>22.911923999999999</v>
      </c>
      <c r="F62" s="329">
        <v>20.399427169724042</v>
      </c>
      <c r="G62" s="316">
        <f t="shared" si="4"/>
        <v>-0.10965891953359996</v>
      </c>
      <c r="H62" s="330">
        <v>190.32863399999999</v>
      </c>
      <c r="I62" s="329">
        <v>160.49632236972406</v>
      </c>
      <c r="J62" s="316">
        <f t="shared" si="5"/>
        <v>-0.15674105889015066</v>
      </c>
      <c r="K62" s="9"/>
      <c r="Q62" s="145"/>
      <c r="R62" s="145"/>
      <c r="T62" s="145"/>
      <c r="U62" s="145"/>
      <c r="V62" s="145"/>
      <c r="W62" s="145"/>
    </row>
    <row r="63" spans="2:23" s="1" customFormat="1">
      <c r="B63" s="8"/>
      <c r="C63" s="375" t="s">
        <v>80</v>
      </c>
      <c r="D63" s="282" t="s">
        <v>81</v>
      </c>
      <c r="E63" s="157">
        <f>E47-E62</f>
        <v>95.8794065030702</v>
      </c>
      <c r="F63" s="158">
        <f>F47-F62</f>
        <v>89.845727836845214</v>
      </c>
      <c r="G63" s="278">
        <f t="shared" ref="G63" si="7">((F63/E63)-1)</f>
        <v>-6.2929870827181045E-2</v>
      </c>
      <c r="H63" s="237">
        <f>H47-H62</f>
        <v>1031.6072382576219</v>
      </c>
      <c r="I63" s="158">
        <f>I47-I62</f>
        <v>839.19878186769415</v>
      </c>
      <c r="J63" s="278">
        <f t="shared" ref="J63" si="8">((I63/H63)-1)</f>
        <v>-0.18651328650514754</v>
      </c>
      <c r="K63" s="9"/>
      <c r="Q63" s="145"/>
      <c r="R63" s="145"/>
      <c r="T63" s="145"/>
      <c r="U63" s="145"/>
      <c r="V63" s="145"/>
      <c r="W63" s="145"/>
    </row>
    <row r="64" spans="2:23" s="1" customFormat="1" ht="13.8" thickBot="1">
      <c r="B64" s="8"/>
      <c r="C64" s="376"/>
      <c r="D64" s="284" t="s">
        <v>41</v>
      </c>
      <c r="E64" s="161">
        <f>E46</f>
        <v>42.590440232191426</v>
      </c>
      <c r="F64" s="162">
        <f>F46</f>
        <v>49.530431959473141</v>
      </c>
      <c r="G64" s="163">
        <f t="shared" si="4"/>
        <v>0.16294717052575125</v>
      </c>
      <c r="H64" s="238">
        <f>H46</f>
        <v>508.85103925901092</v>
      </c>
      <c r="I64" s="162">
        <f>I46</f>
        <v>542.92443484493413</v>
      </c>
      <c r="J64" s="163">
        <f t="shared" si="5"/>
        <v>6.6961434598897362E-2</v>
      </c>
      <c r="K64" s="9"/>
      <c r="Q64" s="145"/>
      <c r="R64" s="145"/>
      <c r="T64" s="146">
        <f>SUM(T58:T61)</f>
        <v>4761.7865472046396</v>
      </c>
      <c r="U64" s="146">
        <f>SUM(U58:U61)</f>
        <v>4901.4868332677552</v>
      </c>
      <c r="V64" s="145"/>
      <c r="W64" s="145"/>
    </row>
    <row r="65" spans="2:22" s="1" customFormat="1" ht="14.4" thickTop="1" thickBot="1">
      <c r="B65" s="8"/>
      <c r="C65" s="368" t="s">
        <v>108</v>
      </c>
      <c r="D65" s="369"/>
      <c r="E65" s="193">
        <f>SUM(E56,E61)</f>
        <v>4761.7865472046396</v>
      </c>
      <c r="F65" s="194">
        <f>SUM(F56,F61)</f>
        <v>4901.4868332677552</v>
      </c>
      <c r="G65" s="195">
        <f t="shared" si="4"/>
        <v>2.9337788386404107E-2</v>
      </c>
      <c r="H65" s="239">
        <f>SUM(H56,H61)</f>
        <v>43184.006537668909</v>
      </c>
      <c r="I65" s="194">
        <f>SUM(I56,I61)</f>
        <v>47576.12884582406</v>
      </c>
      <c r="J65" s="195">
        <f t="shared" si="5"/>
        <v>0.10170715179759782</v>
      </c>
      <c r="K65" s="9"/>
      <c r="Q65" s="145"/>
      <c r="R65" s="145"/>
      <c r="S65" s="145"/>
      <c r="T65" s="145"/>
      <c r="U65" s="145"/>
      <c r="V65" s="145"/>
    </row>
    <row r="66" spans="2:22" s="1" customFormat="1">
      <c r="B66" s="8"/>
      <c r="C66" s="264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4"/>
      <c r="H83" s="9"/>
      <c r="I83" s="9"/>
      <c r="J83" s="9"/>
      <c r="K83" s="9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06"/>
  <sheetViews>
    <sheetView view="pageBreakPreview" topLeftCell="A55" zoomScale="120" zoomScaleNormal="100" zoomScaleSheetLayoutView="120" workbookViewId="0">
      <selection activeCell="C26" sqref="C26:I35"/>
    </sheetView>
  </sheetViews>
  <sheetFormatPr baseColWidth="10" defaultColWidth="11.44140625" defaultRowHeight="13.2"/>
  <cols>
    <col min="1" max="1" width="5.44140625" customWidth="1"/>
    <col min="2" max="2" width="5.44140625" style="19" customWidth="1"/>
    <col min="3" max="3" width="26.44140625" style="20" bestFit="1" customWidth="1"/>
    <col min="4" max="5" width="11.6640625" style="20" customWidth="1"/>
    <col min="6" max="6" width="9.6640625" style="20" customWidth="1"/>
    <col min="7" max="7" width="11.6640625" style="20" customWidth="1"/>
    <col min="8" max="8" width="12.6640625" style="20" customWidth="1"/>
    <col min="9" max="9" width="9.6640625" style="20" customWidth="1"/>
    <col min="10" max="10" width="6.88671875" style="20" customWidth="1"/>
    <col min="11" max="11" width="6.88671875" style="54" customWidth="1"/>
    <col min="12" max="12" width="27.5546875" style="54" customWidth="1"/>
    <col min="13" max="13" width="21.88671875" style="55" customWidth="1"/>
    <col min="14" max="21" width="11.44140625" style="55"/>
    <col min="22" max="25" width="11.44140625" style="57"/>
    <col min="26" max="28" width="11.441406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3.8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3.8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2351.8176270336403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2172.6859745276956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73.723042018449632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47.626465605482224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174.55034287000015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80.833426455000037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5">
        <f t="shared" si="0"/>
        <v>0.24995475748704241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4901.4868332677552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20"/>
      <c r="G23" s="263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303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8" thickBot="1">
      <c r="B25" s="10"/>
      <c r="C25" s="130"/>
      <c r="D25" s="130"/>
      <c r="E25" s="166"/>
      <c r="F25" s="166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304" t="s">
        <v>61</v>
      </c>
      <c r="D26" s="392" t="s">
        <v>126</v>
      </c>
      <c r="E26" s="392"/>
      <c r="F26" s="388" t="s">
        <v>74</v>
      </c>
      <c r="G26" s="386" t="s">
        <v>127</v>
      </c>
      <c r="H26" s="387"/>
      <c r="I26" s="388" t="s">
        <v>74</v>
      </c>
      <c r="J26" s="20"/>
      <c r="K26" s="54"/>
      <c r="L26" s="54"/>
      <c r="M26" s="55"/>
      <c r="N26" s="70">
        <v>2020</v>
      </c>
      <c r="O26" s="70">
        <v>2021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305"/>
      <c r="D27" s="95">
        <v>2020</v>
      </c>
      <c r="E27" s="96">
        <v>2021</v>
      </c>
      <c r="F27" s="389"/>
      <c r="G27" s="241">
        <v>2020</v>
      </c>
      <c r="H27" s="96">
        <v>2021</v>
      </c>
      <c r="I27" s="389"/>
      <c r="J27" s="20"/>
      <c r="K27" s="54"/>
      <c r="L27" s="54"/>
      <c r="M27" s="55" t="s">
        <v>85</v>
      </c>
      <c r="N27" s="70">
        <f t="shared" ref="N27:O29" si="1">D28</f>
        <v>2133.6607637015691</v>
      </c>
      <c r="O27" s="70">
        <f t="shared" si="1"/>
        <v>2351.8176270336403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7" t="s">
        <v>85</v>
      </c>
      <c r="D28" s="168">
        <f>'Resumen (G)'!E41+'Resumen (G)'!E46</f>
        <v>2133.6607637015691</v>
      </c>
      <c r="E28" s="169">
        <f>'Resumen (G)'!F41+'Resumen (G)'!F46</f>
        <v>2351.8176270336403</v>
      </c>
      <c r="F28" s="170">
        <f>+E28/D28-1</f>
        <v>0.10224533676740766</v>
      </c>
      <c r="G28" s="254">
        <f>'Resumen (G)'!H41+'Resumen (G)'!H46</f>
        <v>25805.379832411294</v>
      </c>
      <c r="H28" s="169">
        <f>'Resumen (G)'!I41+'Resumen (G)'!I46</f>
        <v>26389.273380233099</v>
      </c>
      <c r="I28" s="357">
        <f>+H28/G28-1</f>
        <v>2.2626814703515352E-2</v>
      </c>
      <c r="J28" s="303"/>
      <c r="K28" s="54"/>
      <c r="L28" s="54"/>
      <c r="M28" s="55" t="s">
        <v>2</v>
      </c>
      <c r="N28" s="70">
        <f t="shared" si="1"/>
        <v>2206.5874240000003</v>
      </c>
      <c r="O28" s="70">
        <f t="shared" si="1"/>
        <v>2172.6859745276956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71" t="s">
        <v>2</v>
      </c>
      <c r="D29" s="172">
        <v>2206.5874240000003</v>
      </c>
      <c r="E29" s="173">
        <v>2172.6859745276956</v>
      </c>
      <c r="F29" s="174">
        <f t="shared" ref="F29:F35" si="2">+E29/D29-1</f>
        <v>-1.5363746345861795E-2</v>
      </c>
      <c r="G29" s="255">
        <v>13942.098271999999</v>
      </c>
      <c r="H29" s="173">
        <v>17803.026653057703</v>
      </c>
      <c r="I29" s="174">
        <f t="shared" ref="I29:I35" si="3">+H29/G29-1</f>
        <v>0.27692591930811661</v>
      </c>
      <c r="J29" s="261"/>
      <c r="K29" s="262"/>
      <c r="L29" s="54"/>
      <c r="M29" s="55" t="s">
        <v>84</v>
      </c>
      <c r="N29" s="70">
        <f t="shared" si="1"/>
        <v>110.87892250307232</v>
      </c>
      <c r="O29" s="70">
        <f t="shared" si="1"/>
        <v>73.723042018449632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71" t="s">
        <v>3</v>
      </c>
      <c r="D30" s="172">
        <f>'Resumen (G)'!E32-SUM('TipoRecurso (G)'!D28:D29,'TipoRecurso (G)'!D31:D34)</f>
        <v>110.87892250307232</v>
      </c>
      <c r="E30" s="173">
        <f>'Resumen (G)'!F32-SUM('TipoRecurso (G)'!E28:E29,'TipoRecurso (G)'!E31:E34)</f>
        <v>73.723042018449632</v>
      </c>
      <c r="F30" s="174">
        <f t="shared" si="2"/>
        <v>-0.33510318864789779</v>
      </c>
      <c r="G30" s="255">
        <f>'Resumen (G)'!H32-SUM('TipoRecurso (G)'!G28:G29,'TipoRecurso (G)'!G31:G34)</f>
        <v>878.99946925761469</v>
      </c>
      <c r="H30" s="173">
        <f>'Resumen (G)'!I32-SUM('TipoRecurso (G)'!H28:H29,'TipoRecurso (G)'!H31:H34)</f>
        <v>788.97174067579181</v>
      </c>
      <c r="I30" s="174">
        <f t="shared" si="3"/>
        <v>-0.10242068593950171</v>
      </c>
      <c r="J30" s="303"/>
      <c r="K30" s="54"/>
      <c r="L30" s="54"/>
      <c r="M30" s="55" t="s">
        <v>4</v>
      </c>
      <c r="N30" s="99">
        <f>D34</f>
        <v>0.24099999999999999</v>
      </c>
      <c r="O30" s="99">
        <f>E34</f>
        <v>0.24995475748704241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71" t="s">
        <v>6</v>
      </c>
      <c r="D31" s="172">
        <f>'Resumen (G)'!E57+'Resumen (G)'!E62-SUM('TipoRecurso (G)'!D32:D33)</f>
        <v>59.953807999999981</v>
      </c>
      <c r="E31" s="173">
        <f>'Resumen (G)'!F57+'Resumen (G)'!F62-SUM('TipoRecurso (G)'!E32:E33)</f>
        <v>47.626465605482224</v>
      </c>
      <c r="F31" s="174">
        <f t="shared" si="2"/>
        <v>-0.20561400194159074</v>
      </c>
      <c r="G31" s="255">
        <f>'Resumen (G)'!H57+'Resumen (G)'!H62-SUM('TipoRecurso (G)'!G32:G33)</f>
        <v>423.94617900000003</v>
      </c>
      <c r="H31" s="173">
        <f>'Resumen (G)'!I57+'Resumen (G)'!I62-SUM('TipoRecurso (G)'!H32:H33)</f>
        <v>442.81124561798197</v>
      </c>
      <c r="I31" s="174">
        <f t="shared" si="3"/>
        <v>4.4498730151267374E-2</v>
      </c>
      <c r="J31" s="20"/>
      <c r="K31" s="54"/>
      <c r="L31" s="54"/>
      <c r="M31" s="55" t="s">
        <v>90</v>
      </c>
      <c r="N31" s="70">
        <f t="shared" ref="N31:O33" si="4">D31</f>
        <v>59.953807999999981</v>
      </c>
      <c r="O31" s="70">
        <f t="shared" si="4"/>
        <v>47.626465605482224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71" t="s">
        <v>14</v>
      </c>
      <c r="D32" s="172">
        <f>'Resumen (G)'!E43</f>
        <v>174.10139500000002</v>
      </c>
      <c r="E32" s="173">
        <f>'Resumen (G)'!F43</f>
        <v>174.55034287000015</v>
      </c>
      <c r="F32" s="174">
        <f t="shared" si="2"/>
        <v>2.5786575116191202E-3</v>
      </c>
      <c r="G32" s="255">
        <f>'Resumen (G)'!H43</f>
        <v>1508.4386209999998</v>
      </c>
      <c r="H32" s="173">
        <f>'Resumen (G)'!I43</f>
        <v>1497.7469446924999</v>
      </c>
      <c r="I32" s="174">
        <f t="shared" si="3"/>
        <v>-7.087909417495486E-3</v>
      </c>
      <c r="J32" s="20"/>
      <c r="K32" s="54"/>
      <c r="L32" s="54"/>
      <c r="M32" s="55" t="s">
        <v>14</v>
      </c>
      <c r="N32" s="70">
        <f t="shared" si="4"/>
        <v>174.10139500000002</v>
      </c>
      <c r="O32" s="70">
        <f t="shared" si="4"/>
        <v>174.55034287000015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71" t="s">
        <v>5</v>
      </c>
      <c r="D33" s="172">
        <f>'Resumen (G)'!E44</f>
        <v>76.363233999999991</v>
      </c>
      <c r="E33" s="173">
        <f>'Resumen (G)'!F44</f>
        <v>80.833426455000037</v>
      </c>
      <c r="F33" s="363">
        <f t="shared" si="2"/>
        <v>5.8538542972133012E-2</v>
      </c>
      <c r="G33" s="255">
        <f>'Resumen (G)'!H44</f>
        <v>622.89516399999991</v>
      </c>
      <c r="H33" s="173">
        <f>'Resumen (G)'!I44</f>
        <v>652.06407567750011</v>
      </c>
      <c r="I33" s="174">
        <f t="shared" si="3"/>
        <v>4.6827962975644732E-2</v>
      </c>
      <c r="J33" s="20"/>
      <c r="K33" s="54"/>
      <c r="L33" s="54"/>
      <c r="M33" s="55" t="s">
        <v>5</v>
      </c>
      <c r="N33" s="70">
        <f t="shared" si="4"/>
        <v>76.363233999999991</v>
      </c>
      <c r="O33" s="70">
        <f t="shared" si="4"/>
        <v>80.833426455000037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8" thickBot="1">
      <c r="C34" s="175" t="s">
        <v>4</v>
      </c>
      <c r="D34" s="403">
        <v>0.24099999999999999</v>
      </c>
      <c r="E34" s="358">
        <v>0.24995475748704241</v>
      </c>
      <c r="F34" s="176">
        <f t="shared" si="2"/>
        <v>3.7156670070715325E-2</v>
      </c>
      <c r="G34" s="362">
        <v>2.2490000000000001</v>
      </c>
      <c r="H34" s="358">
        <v>2.2348058694870425</v>
      </c>
      <c r="I34" s="176">
        <f t="shared" si="3"/>
        <v>-6.3113074757481513E-3</v>
      </c>
      <c r="J34" s="20"/>
      <c r="K34" s="54"/>
      <c r="L34" s="54"/>
      <c r="M34" s="97"/>
      <c r="N34" s="98">
        <f>SUM(N27:N33)</f>
        <v>4761.7865472046415</v>
      </c>
      <c r="O34" s="98">
        <f>SUM(O27:O33)</f>
        <v>4901.4868332677552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306" t="s">
        <v>108</v>
      </c>
      <c r="D35" s="307">
        <f>SUM(D28:D34)</f>
        <v>4761.7865472046415</v>
      </c>
      <c r="E35" s="308">
        <f>SUM(E28:E34)</f>
        <v>4901.4868332677552</v>
      </c>
      <c r="F35" s="309">
        <f t="shared" si="2"/>
        <v>2.9337788386403663E-2</v>
      </c>
      <c r="G35" s="310">
        <f>SUM(G28:G34)</f>
        <v>43184.006537668909</v>
      </c>
      <c r="H35" s="308">
        <f>SUM(H28:H34)</f>
        <v>47576.12884582406</v>
      </c>
      <c r="I35" s="311">
        <f t="shared" si="3"/>
        <v>0.10170715179759782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7"/>
      <c r="D36" s="177"/>
      <c r="E36" s="178"/>
      <c r="F36" s="179"/>
      <c r="G36" s="17"/>
      <c r="H36" s="17"/>
      <c r="I36" s="18"/>
      <c r="J36" s="20"/>
      <c r="K36" s="54"/>
      <c r="L36" s="54"/>
      <c r="M36" s="55"/>
      <c r="N36" s="98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30"/>
      <c r="N39" s="230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30">
        <f t="shared" ref="M40:N46" si="5">N27/N$34</f>
        <v>0.4480798839994441</v>
      </c>
      <c r="N40" s="230">
        <f t="shared" si="5"/>
        <v>0.47981718752587471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30">
        <f t="shared" si="5"/>
        <v>0.46339486285779757</v>
      </c>
      <c r="N41" s="230">
        <f t="shared" si="5"/>
        <v>0.44327079688984805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30">
        <f t="shared" si="5"/>
        <v>2.328515178156456E-2</v>
      </c>
      <c r="N42" s="230">
        <f t="shared" si="5"/>
        <v>1.5040954821722834E-2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30">
        <f t="shared" si="5"/>
        <v>5.0611256428845301E-5</v>
      </c>
      <c r="N43" s="230">
        <f t="shared" si="5"/>
        <v>5.099570109839527E-5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30">
        <f t="shared" si="5"/>
        <v>1.2590612243044631E-2</v>
      </c>
      <c r="N44" s="230">
        <f t="shared" si="5"/>
        <v>9.7167384562227427E-3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30">
        <f t="shared" si="5"/>
        <v>3.6562200609811982E-2</v>
      </c>
      <c r="N45" s="230">
        <f t="shared" si="5"/>
        <v>3.5611713100049236E-2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30">
        <f t="shared" si="5"/>
        <v>1.6036677251908372E-2</v>
      </c>
      <c r="N46" s="230">
        <f t="shared" si="5"/>
        <v>1.6491613505183994E-2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30">
        <f>N34/N$34</f>
        <v>1</v>
      </c>
      <c r="N47" s="230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3.8">
      <c r="B49" s="23" t="s">
        <v>100</v>
      </c>
      <c r="D49" s="26"/>
      <c r="E49" s="26"/>
      <c r="F49" s="26"/>
      <c r="G49" s="26"/>
      <c r="H49" s="26"/>
      <c r="I49" s="26"/>
      <c r="M49" s="231">
        <f>SUM(M39:M46)</f>
        <v>1</v>
      </c>
      <c r="N49" s="231">
        <f>SUM(N39:N46)</f>
        <v>1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8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90" t="s">
        <v>91</v>
      </c>
      <c r="D53" s="392" t="s">
        <v>126</v>
      </c>
      <c r="E53" s="392"/>
      <c r="F53" s="388" t="s">
        <v>74</v>
      </c>
      <c r="G53" s="386" t="s">
        <v>127</v>
      </c>
      <c r="H53" s="387"/>
      <c r="I53" s="388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91"/>
      <c r="D54" s="95">
        <v>2020</v>
      </c>
      <c r="E54" s="96">
        <v>2021</v>
      </c>
      <c r="F54" s="389"/>
      <c r="G54" s="241">
        <v>2020</v>
      </c>
      <c r="H54" s="96">
        <v>2021</v>
      </c>
      <c r="I54" s="389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9" t="s">
        <v>42</v>
      </c>
      <c r="D55" s="290">
        <f>SUM(D28:D30,D34)</f>
        <v>4451.3681102046412</v>
      </c>
      <c r="E55" s="291">
        <f>SUM(E28:E30,E34)</f>
        <v>4598.4765983372727</v>
      </c>
      <c r="F55" s="292">
        <f>+E55/D55-1</f>
        <v>3.304792694978187E-2</v>
      </c>
      <c r="G55" s="293">
        <f>SUM(G28:G30,G34)</f>
        <v>40628.726573668908</v>
      </c>
      <c r="H55" s="291">
        <f>SUM(H28:H30,H34)</f>
        <v>44983.506579836074</v>
      </c>
      <c r="I55" s="292">
        <f>+H55/G55-1</f>
        <v>0.10718475259791815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6" thickBot="1">
      <c r="C56" s="294" t="s">
        <v>104</v>
      </c>
      <c r="D56" s="295">
        <f>SUM(D31:D33)</f>
        <v>310.41843699999998</v>
      </c>
      <c r="E56" s="296">
        <f>SUM(E31:E33)</f>
        <v>303.0102349304824</v>
      </c>
      <c r="F56" s="297">
        <f>+E56/D56-1</f>
        <v>-2.3865212843390493E-2</v>
      </c>
      <c r="G56" s="298">
        <f>SUM(G31:G33)</f>
        <v>2555.2799639999998</v>
      </c>
      <c r="H56" s="296">
        <f>SUM(H31:H33)</f>
        <v>2592.6222659879822</v>
      </c>
      <c r="I56" s="299">
        <f>+H56/G56-1</f>
        <v>1.4613781078425259E-2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2" t="s">
        <v>71</v>
      </c>
      <c r="D57" s="100">
        <f>SUM(D55:D56)</f>
        <v>4761.7865472046415</v>
      </c>
      <c r="E57" s="101">
        <f>SUM(E55:E56)</f>
        <v>4901.4868332677552</v>
      </c>
      <c r="F57" s="102">
        <f>+E57/D57-1</f>
        <v>2.9337788386403663E-2</v>
      </c>
      <c r="G57" s="256">
        <f>SUM(G55:G56)</f>
        <v>43184.006537668909</v>
      </c>
      <c r="H57" s="101">
        <f>SUM(H55:H56)</f>
        <v>47576.12884582406</v>
      </c>
      <c r="I57" s="102">
        <f>+H57/G57-1</f>
        <v>0.10170715179759782</v>
      </c>
      <c r="N57" s="74"/>
      <c r="O57" s="74"/>
      <c r="P57" s="74"/>
      <c r="Q57" s="74"/>
      <c r="R57" s="74"/>
      <c r="S57" s="74"/>
      <c r="T57" s="74"/>
      <c r="U57" s="74"/>
    </row>
    <row r="58" spans="2:28" ht="13.8" thickBot="1">
      <c r="C58" s="125" t="s">
        <v>8</v>
      </c>
      <c r="D58" s="103">
        <f>+D56/D57</f>
        <v>6.5189490104764977E-2</v>
      </c>
      <c r="E58" s="104">
        <f>+E56/E57</f>
        <v>6.1820065061455966E-2</v>
      </c>
      <c r="F58" s="105"/>
      <c r="G58" s="257">
        <f>+G56/G57</f>
        <v>5.9171905732532219E-2</v>
      </c>
      <c r="H58" s="104">
        <f>+H56/H57</f>
        <v>5.449418287876414E-2</v>
      </c>
      <c r="I58" s="105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5" t="s">
        <v>105</v>
      </c>
      <c r="D59" s="123"/>
      <c r="E59" s="123"/>
      <c r="F59" s="124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6.4">
      <c r="L63" s="85" t="s">
        <v>57</v>
      </c>
      <c r="M63" s="76">
        <f>D55</f>
        <v>4451.3681102046412</v>
      </c>
      <c r="N63" s="76">
        <f>E55</f>
        <v>4598.4765983372727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9.6">
      <c r="B64" s="19"/>
      <c r="J64" s="20"/>
      <c r="K64" s="75"/>
      <c r="L64" s="85" t="s">
        <v>58</v>
      </c>
      <c r="M64" s="76">
        <f>D56</f>
        <v>310.41843699999998</v>
      </c>
      <c r="N64" s="76">
        <f>E56</f>
        <v>303.0102349304824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5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3.8">
      <c r="B72" s="23" t="s">
        <v>115</v>
      </c>
    </row>
    <row r="73" spans="2:28" s="1" customFormat="1" ht="13.8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3.8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8" thickBot="1">
      <c r="B75" s="19"/>
      <c r="H75" s="19"/>
      <c r="I75" s="19"/>
      <c r="J75" s="19"/>
      <c r="K75" s="57"/>
      <c r="L75" s="57"/>
      <c r="M75" s="55"/>
      <c r="N75" s="55">
        <v>2020</v>
      </c>
      <c r="O75" s="55">
        <v>2021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21"/>
      <c r="D76" s="392" t="s">
        <v>126</v>
      </c>
      <c r="E76" s="392"/>
      <c r="F76" s="106" t="s">
        <v>74</v>
      </c>
      <c r="G76" s="386" t="s">
        <v>127</v>
      </c>
      <c r="H76" s="387"/>
      <c r="I76" s="228" t="s">
        <v>74</v>
      </c>
      <c r="J76" s="19"/>
      <c r="K76" s="57"/>
      <c r="L76" s="57"/>
      <c r="M76" s="55" t="s">
        <v>96</v>
      </c>
      <c r="N76" s="70">
        <f>D78</f>
        <v>14.146801152500002</v>
      </c>
      <c r="O76" s="70">
        <f>E78</f>
        <v>1.6168279850000002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6" t="s">
        <v>95</v>
      </c>
      <c r="D77" s="127">
        <v>2020</v>
      </c>
      <c r="E77" s="233">
        <v>2021</v>
      </c>
      <c r="F77" s="107"/>
      <c r="G77" s="350">
        <v>2020</v>
      </c>
      <c r="H77" s="96">
        <v>2021</v>
      </c>
      <c r="I77" s="229"/>
      <c r="J77" s="19"/>
      <c r="K77" s="57"/>
      <c r="L77" s="57"/>
      <c r="M77" s="55" t="s">
        <v>97</v>
      </c>
      <c r="N77" s="70">
        <f>D79</f>
        <v>4586.2579753168775</v>
      </c>
      <c r="O77" s="70">
        <f>E79</f>
        <v>4740.094418316713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6" t="s">
        <v>96</v>
      </c>
      <c r="D78" s="359">
        <v>14.146801152500002</v>
      </c>
      <c r="E78" s="364">
        <v>1.6168279850000002</v>
      </c>
      <c r="F78" s="159">
        <f>((E78/D78)-1)</f>
        <v>-0.88571070112805839</v>
      </c>
      <c r="G78" s="365">
        <v>39.862542495000007</v>
      </c>
      <c r="H78" s="364">
        <v>27.173147057499996</v>
      </c>
      <c r="I78" s="159">
        <f>((H78/G78)-1)</f>
        <v>-0.31832880301329636</v>
      </c>
      <c r="J78" s="19"/>
      <c r="K78" s="260"/>
      <c r="L78" s="57"/>
    </row>
    <row r="79" spans="2:28" ht="16.5" customHeight="1" thickBot="1">
      <c r="C79" s="300" t="s">
        <v>97</v>
      </c>
      <c r="D79" s="161">
        <f>'Resumen (G)'!E40-D78</f>
        <v>4586.2579753168775</v>
      </c>
      <c r="E79" s="332">
        <f>'Resumen (G)'!F40-E78</f>
        <v>4740.094418316713</v>
      </c>
      <c r="F79" s="163">
        <f>((E79/D79)-1)</f>
        <v>3.3542910980537854E-2</v>
      </c>
      <c r="G79" s="238">
        <f>'Resumen (G)'!H40-G78</f>
        <v>41413.357083657284</v>
      </c>
      <c r="H79" s="332">
        <f>'Resumen (G)'!I40-H78</f>
        <v>46006.336159684215</v>
      </c>
      <c r="I79" s="163">
        <f>((H79/G79)-1)</f>
        <v>0.11090574151592825</v>
      </c>
      <c r="J79" s="19"/>
      <c r="K79" s="57"/>
      <c r="L79" s="57"/>
      <c r="M79" s="70"/>
      <c r="N79" s="70"/>
      <c r="O79" s="70"/>
    </row>
    <row r="80" spans="2:28" ht="14.4" thickTop="1" thickBot="1">
      <c r="C80" s="128" t="s">
        <v>94</v>
      </c>
      <c r="D80" s="232">
        <f>SUM(D78:D79)</f>
        <v>4600.4047764693778</v>
      </c>
      <c r="E80" s="333">
        <f>SUM(E78:E79)</f>
        <v>4741.7112463017129</v>
      </c>
      <c r="F80" s="129"/>
      <c r="G80" s="258">
        <f>SUM(G78:G79)</f>
        <v>41453.219626152284</v>
      </c>
      <c r="H80" s="333">
        <f>SUM(H78:H79)</f>
        <v>46033.509306741718</v>
      </c>
      <c r="I80" s="129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65"/>
  <sheetViews>
    <sheetView view="pageBreakPreview" topLeftCell="A34" zoomScale="98" zoomScaleNormal="100" zoomScaleSheetLayoutView="98" workbookViewId="0">
      <selection activeCell="C54" sqref="C54:H60"/>
    </sheetView>
  </sheetViews>
  <sheetFormatPr baseColWidth="10" defaultColWidth="11.44140625" defaultRowHeight="13.2"/>
  <cols>
    <col min="1" max="1" width="5.44140625" customWidth="1"/>
    <col min="2" max="2" width="3.88671875" style="19" customWidth="1"/>
    <col min="3" max="3" width="27.88671875" style="20" customWidth="1"/>
    <col min="4" max="5" width="11.6640625" style="20" customWidth="1"/>
    <col min="6" max="6" width="9.6640625" style="20" customWidth="1"/>
    <col min="7" max="7" width="13" style="20" customWidth="1"/>
    <col min="8" max="8" width="13.109375" style="20" customWidth="1"/>
    <col min="9" max="9" width="9.5546875" style="20" customWidth="1"/>
    <col min="10" max="10" width="3.6640625" style="20" customWidth="1"/>
    <col min="11" max="11" width="9" customWidth="1"/>
    <col min="13" max="13" width="19.109375" customWidth="1"/>
    <col min="14" max="14" width="6.5546875" bestFit="1" customWidth="1"/>
    <col min="15" max="15" width="10.33203125" bestFit="1" customWidth="1"/>
    <col min="16" max="16" width="6.5546875" bestFit="1" customWidth="1"/>
    <col min="17" max="17" width="8.44140625" bestFit="1" customWidth="1"/>
    <col min="18" max="18" width="11.88671875" bestFit="1" customWidth="1"/>
    <col min="19" max="19" width="13.33203125" customWidth="1"/>
  </cols>
  <sheetData>
    <row r="2" spans="2:13" ht="13.8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3.8">
      <c r="C3" s="22"/>
      <c r="D3" s="3"/>
      <c r="E3" s="22"/>
      <c r="F3" s="22"/>
      <c r="G3" s="22"/>
      <c r="H3" s="22"/>
      <c r="I3" s="22"/>
      <c r="J3" s="22"/>
    </row>
    <row r="4" spans="2:13" ht="13.8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128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8" t="s">
        <v>44</v>
      </c>
      <c r="D8" s="400" t="s">
        <v>126</v>
      </c>
      <c r="E8" s="401"/>
      <c r="F8" s="388" t="s">
        <v>74</v>
      </c>
      <c r="G8" s="386" t="s">
        <v>127</v>
      </c>
      <c r="H8" s="387"/>
      <c r="I8" s="388" t="s">
        <v>74</v>
      </c>
      <c r="J8" s="26"/>
    </row>
    <row r="9" spans="2:13" s="1" customFormat="1" ht="13.5" customHeight="1">
      <c r="B9" s="19"/>
      <c r="C9" s="209"/>
      <c r="D9" s="110">
        <v>2020</v>
      </c>
      <c r="E9" s="96">
        <v>2021</v>
      </c>
      <c r="F9" s="389"/>
      <c r="G9" s="241">
        <v>2020</v>
      </c>
      <c r="H9" s="96">
        <v>2021</v>
      </c>
      <c r="I9" s="389"/>
      <c r="J9" s="26"/>
    </row>
    <row r="10" spans="2:13">
      <c r="C10" s="196" t="s">
        <v>10</v>
      </c>
      <c r="D10" s="197">
        <f>'Por Región (G)'!O8</f>
        <v>273.77314533567306</v>
      </c>
      <c r="E10" s="198">
        <f>'Por Región (G)'!P8</f>
        <v>372.29496373899929</v>
      </c>
      <c r="F10" s="199">
        <f>+E10/D10-1</f>
        <v>0.35986662710299311</v>
      </c>
      <c r="G10" s="345">
        <f>'Por Región (G)'!Q8</f>
        <v>2784.4884800546902</v>
      </c>
      <c r="H10" s="198">
        <f>'Por Región (G)'!R8</f>
        <v>3136.9681883456874</v>
      </c>
      <c r="I10" s="199">
        <f>+H10/G10-1</f>
        <v>0.12658687971446514</v>
      </c>
      <c r="J10" s="26"/>
      <c r="L10" s="145" t="s">
        <v>9</v>
      </c>
      <c r="M10" s="234">
        <f>E11</f>
        <v>3978.3472427365505</v>
      </c>
    </row>
    <row r="11" spans="2:13">
      <c r="C11" s="200" t="s">
        <v>9</v>
      </c>
      <c r="D11" s="201">
        <f>'Por Región (G)'!O9</f>
        <v>3857.2578383688101</v>
      </c>
      <c r="E11" s="202">
        <f>'Por Región (G)'!P9</f>
        <v>3978.3472427365505</v>
      </c>
      <c r="F11" s="203">
        <f>+E11/D11-1</f>
        <v>3.1392613468366859E-2</v>
      </c>
      <c r="G11" s="346">
        <f>'Por Región (G)'!Q9</f>
        <v>34294.148853385959</v>
      </c>
      <c r="H11" s="202">
        <f>'Por Región (G)'!R9</f>
        <v>38356.336056894404</v>
      </c>
      <c r="I11" s="203">
        <f>+H11/G11-1</f>
        <v>0.11845132010346937</v>
      </c>
      <c r="J11" s="26"/>
      <c r="L11" s="145" t="s">
        <v>12</v>
      </c>
      <c r="M11" s="234">
        <f>E12</f>
        <v>516.09244627687099</v>
      </c>
    </row>
    <row r="12" spans="2:13">
      <c r="C12" s="200" t="s">
        <v>12</v>
      </c>
      <c r="D12" s="201">
        <f>'Por Región (G)'!O10</f>
        <v>595.12224083842523</v>
      </c>
      <c r="E12" s="202">
        <f>'Por Región (G)'!P10</f>
        <v>516.09244627687099</v>
      </c>
      <c r="F12" s="203">
        <f>+E12/D12-1</f>
        <v>-0.13279590164571031</v>
      </c>
      <c r="G12" s="346">
        <f>'Por Región (G)'!Q10</f>
        <v>5671.7342050393099</v>
      </c>
      <c r="H12" s="202">
        <f>'Por Región (G)'!R10</f>
        <v>5744.4858997726351</v>
      </c>
      <c r="I12" s="203">
        <f>+H12/G12-1</f>
        <v>1.2827063487687029E-2</v>
      </c>
      <c r="J12" s="26"/>
      <c r="L12" s="145" t="s">
        <v>10</v>
      </c>
      <c r="M12" s="234">
        <f>E10</f>
        <v>372.29496373899929</v>
      </c>
    </row>
    <row r="13" spans="2:13">
      <c r="C13" s="204" t="s">
        <v>11</v>
      </c>
      <c r="D13" s="205">
        <f>'Por Región (G)'!O11</f>
        <v>35.633322661730759</v>
      </c>
      <c r="E13" s="206">
        <f>'Por Región (G)'!P11</f>
        <v>34.752180515333336</v>
      </c>
      <c r="F13" s="207">
        <f>+E13/D13-1</f>
        <v>-2.4728037706787998E-2</v>
      </c>
      <c r="G13" s="347">
        <f>'Por Región (G)'!Q11</f>
        <v>433.63499918896002</v>
      </c>
      <c r="H13" s="206">
        <f>'Por Región (G)'!R11</f>
        <v>338.3387008113333</v>
      </c>
      <c r="I13" s="207">
        <f>+H13/G13-1</f>
        <v>-0.21976154728253516</v>
      </c>
      <c r="J13" s="26"/>
      <c r="L13" s="145" t="s">
        <v>11</v>
      </c>
      <c r="M13" s="234">
        <f>E13</f>
        <v>34.752180515333336</v>
      </c>
    </row>
    <row r="14" spans="2:13" ht="13.8" thickBot="1">
      <c r="C14" s="210" t="s">
        <v>108</v>
      </c>
      <c r="D14" s="211">
        <f>SUM(D10:D13)</f>
        <v>4761.7865472046396</v>
      </c>
      <c r="E14" s="212">
        <f>SUM(E10:E13)</f>
        <v>4901.4868332677543</v>
      </c>
      <c r="F14" s="213">
        <f>+E14/D14-1</f>
        <v>2.9337788386403885E-2</v>
      </c>
      <c r="G14" s="348">
        <f>SUM(G10:G13)</f>
        <v>43184.006537668924</v>
      </c>
      <c r="H14" s="212">
        <f>SUM(H10:H13)</f>
        <v>47576.12884582406</v>
      </c>
      <c r="I14" s="213">
        <f>+H14/G14-1</f>
        <v>0.10170715179759759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3.8">
      <c r="C16" s="23" t="s">
        <v>129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7" t="s">
        <v>93</v>
      </c>
      <c r="D18" s="397"/>
      <c r="E18" s="397"/>
      <c r="F18" s="397"/>
      <c r="G18" s="398" t="s">
        <v>107</v>
      </c>
      <c r="H18" s="399"/>
      <c r="I18" s="399"/>
      <c r="J18" s="399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8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40" t="s">
        <v>12</v>
      </c>
      <c r="R44" s="30" t="s">
        <v>38</v>
      </c>
    </row>
    <row r="45" spans="3:26" ht="13.8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8" thickBot="1">
      <c r="C53" s="214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393" t="s">
        <v>13</v>
      </c>
      <c r="D54" s="395" t="s">
        <v>130</v>
      </c>
      <c r="E54" s="396"/>
      <c r="F54" s="396"/>
      <c r="G54" s="396"/>
      <c r="H54" s="396"/>
      <c r="I54" s="19"/>
      <c r="J54" s="19"/>
    </row>
    <row r="55" spans="3:13">
      <c r="C55" s="394"/>
      <c r="D55" s="113" t="s">
        <v>14</v>
      </c>
      <c r="E55" s="114" t="s">
        <v>15</v>
      </c>
      <c r="F55" s="114" t="s">
        <v>5</v>
      </c>
      <c r="G55" s="114" t="s">
        <v>16</v>
      </c>
      <c r="H55" s="114" t="s">
        <v>71</v>
      </c>
      <c r="I55" s="19"/>
      <c r="J55" s="19"/>
    </row>
    <row r="56" spans="3:13">
      <c r="C56" s="215" t="s">
        <v>10</v>
      </c>
      <c r="D56" s="341">
        <f>'Resumen (G)'!F14-'PorZona (G)'!D58</f>
        <v>94.595656592500177</v>
      </c>
      <c r="E56" s="219">
        <v>116.54168524072797</v>
      </c>
      <c r="F56" s="219">
        <v>0</v>
      </c>
      <c r="G56" s="219">
        <v>161.15762190577112</v>
      </c>
      <c r="H56" s="219">
        <f>SUM(D56:G56)</f>
        <v>372.29496373899929</v>
      </c>
      <c r="I56" s="336"/>
      <c r="K56" s="312"/>
      <c r="L56" s="325"/>
      <c r="M56" s="325"/>
    </row>
    <row r="57" spans="3:13">
      <c r="C57" s="216" t="s">
        <v>9</v>
      </c>
      <c r="D57" s="342">
        <v>0</v>
      </c>
      <c r="E57" s="220">
        <v>1911.4935143426569</v>
      </c>
      <c r="F57" s="343">
        <v>6.4619999999999999E-3</v>
      </c>
      <c r="G57" s="220">
        <v>2066.8472663938937</v>
      </c>
      <c r="H57" s="220">
        <f>SUM(D57:G57)</f>
        <v>3978.3472427365505</v>
      </c>
      <c r="I57" s="336"/>
      <c r="K57" s="312"/>
      <c r="L57" s="325"/>
      <c r="M57" s="325"/>
    </row>
    <row r="58" spans="3:13">
      <c r="C58" s="216" t="s">
        <v>12</v>
      </c>
      <c r="D58" s="342">
        <v>79.954686277499974</v>
      </c>
      <c r="E58" s="220">
        <v>323.78242745025585</v>
      </c>
      <c r="F58" s="220">
        <f>'Resumen (G)'!D15</f>
        <v>80.833426455000037</v>
      </c>
      <c r="G58" s="220">
        <v>31.521906094115081</v>
      </c>
      <c r="H58" s="220">
        <f>SUM(D58:G58)</f>
        <v>516.09244627687099</v>
      </c>
      <c r="I58" s="336"/>
      <c r="K58" s="312"/>
      <c r="L58" s="325"/>
      <c r="M58" s="325"/>
    </row>
    <row r="59" spans="3:13">
      <c r="C59" s="217" t="s">
        <v>11</v>
      </c>
      <c r="D59" s="344">
        <v>0</v>
      </c>
      <c r="E59" s="221">
        <v>0</v>
      </c>
      <c r="F59" s="221">
        <v>0</v>
      </c>
      <c r="G59" s="221">
        <f>E13</f>
        <v>34.752180515333336</v>
      </c>
      <c r="H59" s="221">
        <f>SUM(D59:G59)</f>
        <v>34.752180515333336</v>
      </c>
      <c r="I59" s="336"/>
      <c r="K59" s="19"/>
      <c r="L59" s="325"/>
      <c r="M59" s="325"/>
    </row>
    <row r="60" spans="3:13" ht="13.8" thickBot="1">
      <c r="C60" s="115" t="s">
        <v>108</v>
      </c>
      <c r="D60" s="222">
        <f>SUM(D56:D59)</f>
        <v>174.55034287000015</v>
      </c>
      <c r="E60" s="223">
        <f>SUM(E56:E59)</f>
        <v>2351.8176270336407</v>
      </c>
      <c r="F60" s="223">
        <f>SUM(F56:F59)</f>
        <v>80.839888455000036</v>
      </c>
      <c r="G60" s="223">
        <f>SUM(G56:G59)</f>
        <v>2294.278974909113</v>
      </c>
      <c r="H60" s="223">
        <f>SUM(H56:H59)</f>
        <v>4901.4868332677543</v>
      </c>
      <c r="I60" s="19"/>
      <c r="J60" s="19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19"/>
      <c r="G63" s="19"/>
      <c r="H63" s="19"/>
      <c r="I63" s="19"/>
      <c r="J63" s="19"/>
    </row>
    <row r="64" spans="3:13">
      <c r="E64" s="339"/>
      <c r="H64" s="122"/>
    </row>
    <row r="65" spans="5:5">
      <c r="E65" s="122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93"/>
  <sheetViews>
    <sheetView view="pageBreakPreview" topLeftCell="A5" zoomScale="70" zoomScaleNormal="100" zoomScaleSheetLayoutView="70" workbookViewId="0">
      <selection activeCell="C6" sqref="C6:I33"/>
    </sheetView>
  </sheetViews>
  <sheetFormatPr baseColWidth="10" defaultColWidth="11.44140625" defaultRowHeight="13.2"/>
  <cols>
    <col min="1" max="1" width="5.44140625" style="1" customWidth="1"/>
    <col min="2" max="2" width="5.44140625" style="19" customWidth="1"/>
    <col min="3" max="3" width="24.33203125" style="20" customWidth="1"/>
    <col min="4" max="4" width="11.6640625" style="20" bestFit="1" customWidth="1"/>
    <col min="5" max="5" width="11.6640625" style="20" customWidth="1"/>
    <col min="6" max="6" width="9.6640625" style="20" customWidth="1"/>
    <col min="7" max="8" width="11.6640625" style="20" customWidth="1"/>
    <col min="9" max="9" width="9.6640625" style="20" customWidth="1"/>
    <col min="10" max="10" width="12.33203125" style="20" customWidth="1"/>
    <col min="11" max="11" width="9.6640625" style="9" customWidth="1"/>
    <col min="12" max="12" width="10.33203125" style="9" customWidth="1"/>
    <col min="13" max="13" width="11.44140625" style="9"/>
    <col min="14" max="14" width="14.5546875" style="9" customWidth="1"/>
    <col min="15" max="15" width="14.5546875" style="9" bestFit="1" customWidth="1"/>
    <col min="16" max="16" width="13.5546875" style="9" customWidth="1"/>
    <col min="17" max="17" width="12.6640625" style="9" bestFit="1" customWidth="1"/>
    <col min="18" max="18" width="14.33203125" style="9" bestFit="1" customWidth="1"/>
    <col min="19" max="19" width="14.44140625" style="9" customWidth="1"/>
    <col min="20" max="20" width="13.33203125" style="15" customWidth="1"/>
    <col min="21" max="16384" width="11.44140625" style="1"/>
  </cols>
  <sheetData>
    <row r="1" spans="3:19" ht="13.8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3.8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3.8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3.8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8" thickBot="1">
      <c r="C5"/>
      <c r="D5"/>
      <c r="E5"/>
      <c r="F5"/>
      <c r="G5"/>
    </row>
    <row r="6" spans="3:19" ht="12.75" customHeight="1">
      <c r="C6" s="108" t="s">
        <v>60</v>
      </c>
      <c r="D6" s="400" t="s">
        <v>126</v>
      </c>
      <c r="E6" s="401"/>
      <c r="F6" s="388" t="s">
        <v>74</v>
      </c>
      <c r="G6" s="386" t="s">
        <v>127</v>
      </c>
      <c r="H6" s="387"/>
      <c r="I6" s="388" t="s">
        <v>74</v>
      </c>
      <c r="O6" s="47"/>
      <c r="P6" s="86"/>
      <c r="Q6" s="402" t="s">
        <v>116</v>
      </c>
      <c r="R6" s="402"/>
    </row>
    <row r="7" spans="3:19" ht="12.75" customHeight="1">
      <c r="C7" s="109"/>
      <c r="D7" s="110">
        <v>2020</v>
      </c>
      <c r="E7" s="96">
        <v>2021</v>
      </c>
      <c r="F7" s="389"/>
      <c r="G7" s="241">
        <v>2020</v>
      </c>
      <c r="H7" s="96">
        <v>2021</v>
      </c>
      <c r="I7" s="389"/>
      <c r="N7" s="54"/>
      <c r="O7" s="322">
        <v>2020</v>
      </c>
      <c r="P7" s="324">
        <v>2021</v>
      </c>
      <c r="Q7" s="54">
        <v>2020</v>
      </c>
      <c r="R7" s="54">
        <v>2021</v>
      </c>
    </row>
    <row r="8" spans="3:19" ht="20.100000000000001" customHeight="1">
      <c r="C8" s="117" t="s">
        <v>17</v>
      </c>
      <c r="D8" s="360">
        <v>2.8877306822983337</v>
      </c>
      <c r="E8" s="361">
        <v>4.3639481799999995</v>
      </c>
      <c r="F8" s="225">
        <f>+E8/D8-1</f>
        <v>0.51120331502893124</v>
      </c>
      <c r="G8" s="355">
        <v>30.790385544953697</v>
      </c>
      <c r="H8" s="356">
        <v>39.818640899999991</v>
      </c>
      <c r="I8" s="225">
        <f>+H8/G8-1</f>
        <v>0.29321670369684449</v>
      </c>
      <c r="J8" s="26"/>
      <c r="K8" s="46"/>
      <c r="L8" s="46"/>
      <c r="N8" s="57" t="s">
        <v>10</v>
      </c>
      <c r="O8" s="71">
        <f>SUM(D8,D13,D20,D21,D27,D29,D31)</f>
        <v>273.77314533567306</v>
      </c>
      <c r="P8" s="71">
        <f t="shared" ref="P8" si="0">SUM(E8,E13,E20,E21,E27,E29,E31)</f>
        <v>372.29496373899929</v>
      </c>
      <c r="Q8" s="71">
        <f>SUM(G8,G13,G20,G21,G27,G29,G31)</f>
        <v>2784.4884800546902</v>
      </c>
      <c r="R8" s="71">
        <f>SUM(H8,H13,H20,H21,H27,H29,H31)</f>
        <v>3136.9681883456874</v>
      </c>
    </row>
    <row r="9" spans="3:19" ht="20.100000000000001" customHeight="1">
      <c r="C9" s="118" t="s">
        <v>18</v>
      </c>
      <c r="D9" s="224">
        <v>116.29747209749999</v>
      </c>
      <c r="E9" s="286">
        <v>188.57328936488278</v>
      </c>
      <c r="F9" s="226">
        <f t="shared" ref="F9:F32" si="1">+E9/D9-1</f>
        <v>0.62147367405190979</v>
      </c>
      <c r="G9" s="242">
        <v>1763.4523361694471</v>
      </c>
      <c r="H9" s="286">
        <v>1883.6186124689602</v>
      </c>
      <c r="I9" s="301">
        <f t="shared" ref="I9:I32" si="2">+H9/G9-1</f>
        <v>6.8142627864009597E-2</v>
      </c>
      <c r="J9" s="26"/>
      <c r="K9" s="46"/>
      <c r="L9" s="46"/>
      <c r="N9" s="57" t="s">
        <v>9</v>
      </c>
      <c r="O9" s="322">
        <f>SUM(D9,D14,D16,D17,D19,D22,D26,D32)</f>
        <v>3857.2578383688101</v>
      </c>
      <c r="P9" s="322">
        <f>SUM(E9,E14,E16,E17,E19,E22,E26,E32)</f>
        <v>3978.3472427365505</v>
      </c>
      <c r="Q9" s="322">
        <f>SUM(G9,G14,G16,G17,G19,G22,G26,G32)</f>
        <v>34294.148853385959</v>
      </c>
      <c r="R9" s="322">
        <f>SUM(H9,H14,H16,H17,H19,H22,H26,H32)</f>
        <v>38356.336056894404</v>
      </c>
    </row>
    <row r="10" spans="3:19" ht="20.100000000000001" customHeight="1">
      <c r="C10" s="119" t="s">
        <v>19</v>
      </c>
      <c r="D10" s="352">
        <v>2.5456980000000002</v>
      </c>
      <c r="E10" s="317">
        <v>2.8617900000000001</v>
      </c>
      <c r="F10" s="226">
        <f t="shared" si="1"/>
        <v>0.12416712430146859</v>
      </c>
      <c r="G10" s="242">
        <v>38.975239175149575</v>
      </c>
      <c r="H10" s="286">
        <v>37.565753999999998</v>
      </c>
      <c r="I10" s="226">
        <f t="shared" si="2"/>
        <v>-3.616360553467135E-2</v>
      </c>
      <c r="J10" s="26"/>
      <c r="K10" s="46"/>
      <c r="L10" s="46"/>
      <c r="N10" s="54" t="s">
        <v>12</v>
      </c>
      <c r="O10" s="322">
        <f>SUM(D10,D11,D12,D15,D18,D24,D25,D28,D30)</f>
        <v>595.12224083842523</v>
      </c>
      <c r="P10" s="322">
        <f t="shared" ref="P10" si="3">SUM(E10,E11,E12,E15,E18,E24,E25,E28,E30)</f>
        <v>516.09244627687099</v>
      </c>
      <c r="Q10" s="322">
        <f>SUM(G10,G11,G12,G15,G18,G24,G25,G28,G30)</f>
        <v>5671.7342050393099</v>
      </c>
      <c r="R10" s="322">
        <f>SUM(H10,H11,H12,H15,H18,H24,H25,H28,H30)</f>
        <v>5744.4858997726351</v>
      </c>
    </row>
    <row r="11" spans="3:19" ht="20.100000000000001" customHeight="1">
      <c r="C11" s="118" t="s">
        <v>20</v>
      </c>
      <c r="D11" s="224">
        <v>103.60262931175855</v>
      </c>
      <c r="E11" s="286">
        <v>101.6949669251933</v>
      </c>
      <c r="F11" s="301">
        <f t="shared" si="1"/>
        <v>-1.8413262281450016E-2</v>
      </c>
      <c r="G11" s="242">
        <v>1060.3416314358815</v>
      </c>
      <c r="H11" s="286">
        <v>1019.4579383236538</v>
      </c>
      <c r="I11" s="226">
        <f t="shared" si="2"/>
        <v>-3.8557095091007798E-2</v>
      </c>
      <c r="J11" s="26"/>
      <c r="K11" s="46"/>
      <c r="L11" s="46"/>
      <c r="N11" s="323" t="s">
        <v>11</v>
      </c>
      <c r="O11" s="71">
        <f>D23</f>
        <v>35.633322661730759</v>
      </c>
      <c r="P11" s="71">
        <f t="shared" ref="P11" si="4">E23</f>
        <v>34.752180515333336</v>
      </c>
      <c r="Q11" s="71">
        <f>G23</f>
        <v>433.63499918896002</v>
      </c>
      <c r="R11" s="71">
        <f>H23</f>
        <v>338.3387008113333</v>
      </c>
    </row>
    <row r="12" spans="3:19" ht="20.100000000000001" customHeight="1">
      <c r="C12" s="118" t="s">
        <v>21</v>
      </c>
      <c r="D12" s="352">
        <v>0.95530499999999996</v>
      </c>
      <c r="E12" s="317">
        <v>0.68440044999999994</v>
      </c>
      <c r="F12" s="226">
        <f t="shared" si="1"/>
        <v>-0.28357911871077823</v>
      </c>
      <c r="G12" s="351">
        <v>9.4741057336121948</v>
      </c>
      <c r="H12" s="317">
        <v>8.1039574499999993</v>
      </c>
      <c r="I12" s="226">
        <f t="shared" si="2"/>
        <v>-0.14462032851830953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8" t="s">
        <v>22</v>
      </c>
      <c r="D13" s="224">
        <v>41.791445835189876</v>
      </c>
      <c r="E13" s="286">
        <v>120.55315217999998</v>
      </c>
      <c r="F13" s="226">
        <f t="shared" si="1"/>
        <v>1.8846370296786898</v>
      </c>
      <c r="G13" s="242">
        <v>873.87222512060384</v>
      </c>
      <c r="H13" s="286">
        <v>1173.5661611584951</v>
      </c>
      <c r="I13" s="226">
        <f t="shared" si="2"/>
        <v>0.3429493779786057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8" t="s">
        <v>59</v>
      </c>
      <c r="D14" s="224">
        <v>303.93168146531076</v>
      </c>
      <c r="E14" s="286">
        <v>327.90756581500005</v>
      </c>
      <c r="F14" s="226">
        <f t="shared" si="1"/>
        <v>7.8885768782303689E-2</v>
      </c>
      <c r="G14" s="242">
        <v>2114.0207086531072</v>
      </c>
      <c r="H14" s="286">
        <v>2560.9473603627971</v>
      </c>
      <c r="I14" s="226">
        <f t="shared" si="2"/>
        <v>0.2114107254864297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8" t="s">
        <v>23</v>
      </c>
      <c r="D15" s="224">
        <v>160.37088006666664</v>
      </c>
      <c r="E15" s="286">
        <v>132.16612161916666</v>
      </c>
      <c r="F15" s="226">
        <f t="shared" si="1"/>
        <v>-0.17587206876819028</v>
      </c>
      <c r="G15" s="242">
        <v>1593.5354072946668</v>
      </c>
      <c r="H15" s="286">
        <v>1681.5466346639696</v>
      </c>
      <c r="I15" s="349">
        <f t="shared" si="2"/>
        <v>5.5230167441788325E-2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8" t="s">
        <v>24</v>
      </c>
      <c r="D16" s="224">
        <v>800.16589681525647</v>
      </c>
      <c r="E16" s="286">
        <v>781.24968237401072</v>
      </c>
      <c r="F16" s="226">
        <f t="shared" si="1"/>
        <v>-2.364036572482564E-2</v>
      </c>
      <c r="G16" s="242">
        <v>8626.0761041892911</v>
      </c>
      <c r="H16" s="286">
        <v>8579.5116173687729</v>
      </c>
      <c r="I16" s="301">
        <f t="shared" si="2"/>
        <v>-5.3981075819519164E-3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8" t="s">
        <v>25</v>
      </c>
      <c r="D17" s="224">
        <v>96.073176133333348</v>
      </c>
      <c r="E17" s="286">
        <v>121.31796224795998</v>
      </c>
      <c r="F17" s="226">
        <f t="shared" si="1"/>
        <v>0.26276622810503447</v>
      </c>
      <c r="G17" s="242">
        <v>1866.1212888613327</v>
      </c>
      <c r="H17" s="286">
        <v>1898.4190614321553</v>
      </c>
      <c r="I17" s="301">
        <f t="shared" si="2"/>
        <v>1.7307434818735645E-2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8" t="s">
        <v>26</v>
      </c>
      <c r="D18" s="224">
        <v>162.1808140666667</v>
      </c>
      <c r="E18" s="286">
        <v>122.85503118416659</v>
      </c>
      <c r="F18" s="226">
        <f t="shared" si="1"/>
        <v>-0.24248110424661384</v>
      </c>
      <c r="G18" s="242">
        <v>1379.3809486666664</v>
      </c>
      <c r="H18" s="286">
        <v>1390.5793898816667</v>
      </c>
      <c r="I18" s="226">
        <f t="shared" si="2"/>
        <v>8.1184543151946453E-3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8" t="s">
        <v>27</v>
      </c>
      <c r="D19" s="224">
        <v>182.81513028166668</v>
      </c>
      <c r="E19" s="286">
        <v>232.796601459274</v>
      </c>
      <c r="F19" s="226">
        <f t="shared" si="1"/>
        <v>0.27339898563428489</v>
      </c>
      <c r="G19" s="242">
        <v>2377.5687042266673</v>
      </c>
      <c r="H19" s="286">
        <v>2509.358225386196</v>
      </c>
      <c r="I19" s="301">
        <f t="shared" si="2"/>
        <v>5.543037344209778E-2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8" t="s">
        <v>28</v>
      </c>
      <c r="D20" s="224">
        <v>66.733543592012367</v>
      </c>
      <c r="E20" s="286">
        <v>102.74404040399395</v>
      </c>
      <c r="F20" s="301">
        <f t="shared" si="1"/>
        <v>0.53961613416092957</v>
      </c>
      <c r="G20" s="242">
        <v>648.6235309436214</v>
      </c>
      <c r="H20" s="286">
        <v>588.65151162713948</v>
      </c>
      <c r="I20" s="226">
        <f t="shared" si="2"/>
        <v>-9.2460443470551046E-2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8" t="s">
        <v>29</v>
      </c>
      <c r="D21" s="352">
        <v>5.3480972666666684</v>
      </c>
      <c r="E21" s="317">
        <v>5.2263861491666672</v>
      </c>
      <c r="F21" s="226">
        <f t="shared" si="1"/>
        <v>-2.2757835437772544E-2</v>
      </c>
      <c r="G21" s="242">
        <v>49.761198916666686</v>
      </c>
      <c r="H21" s="286">
        <v>51.51309028166667</v>
      </c>
      <c r="I21" s="226">
        <f t="shared" si="2"/>
        <v>3.5205971784036283E-2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8" t="s">
        <v>30</v>
      </c>
      <c r="D22" s="224">
        <v>2290.4425292424098</v>
      </c>
      <c r="E22" s="286">
        <v>2237.6240402595895</v>
      </c>
      <c r="F22" s="226">
        <f t="shared" si="1"/>
        <v>-2.3060386064474026E-2</v>
      </c>
      <c r="G22" s="242">
        <v>16743.328397952777</v>
      </c>
      <c r="H22" s="286">
        <v>19981.397050480289</v>
      </c>
      <c r="I22" s="226">
        <f t="shared" si="2"/>
        <v>0.19339456143758338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8" t="s">
        <v>31</v>
      </c>
      <c r="D23" s="352">
        <v>35.633322661730759</v>
      </c>
      <c r="E23" s="317">
        <v>34.752180515333336</v>
      </c>
      <c r="F23" s="226">
        <f t="shared" si="1"/>
        <v>-2.4728037706787998E-2</v>
      </c>
      <c r="G23" s="242">
        <v>433.63499918896002</v>
      </c>
      <c r="H23" s="286">
        <v>338.3387008113333</v>
      </c>
      <c r="I23" s="226">
        <f t="shared" si="2"/>
        <v>-0.21976154728253516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8" t="s">
        <v>32</v>
      </c>
      <c r="D24" s="366">
        <v>0.53554400000000002</v>
      </c>
      <c r="E24" s="367">
        <v>0.23264283334438859</v>
      </c>
      <c r="F24" s="226">
        <f t="shared" si="1"/>
        <v>-0.56559529498157279</v>
      </c>
      <c r="G24" s="242">
        <v>5.5092920000000003</v>
      </c>
      <c r="H24" s="286">
        <v>1.6939048158443888</v>
      </c>
      <c r="I24" s="301">
        <f t="shared" si="2"/>
        <v>-0.69253675139303039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8" t="s">
        <v>33</v>
      </c>
      <c r="D25" s="224">
        <v>83.037239333333332</v>
      </c>
      <c r="E25" s="286">
        <v>75.881785710000045</v>
      </c>
      <c r="F25" s="226">
        <f t="shared" si="1"/>
        <v>-8.6171622283941929E-2</v>
      </c>
      <c r="G25" s="242">
        <v>567.81544433333329</v>
      </c>
      <c r="H25" s="286">
        <v>609.64442833500004</v>
      </c>
      <c r="I25" s="226">
        <f t="shared" si="2"/>
        <v>7.3666513334764483E-2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8" t="s">
        <v>34</v>
      </c>
      <c r="D26" s="224">
        <v>54.680005999999992</v>
      </c>
      <c r="E26" s="286">
        <v>63.517554620000013</v>
      </c>
      <c r="F26" s="226">
        <f t="shared" si="1"/>
        <v>0.16162303676411494</v>
      </c>
      <c r="G26" s="242">
        <v>758.66208299999983</v>
      </c>
      <c r="H26" s="286">
        <v>713.69329523940007</v>
      </c>
      <c r="I26" s="226">
        <f t="shared" si="2"/>
        <v>-5.9273804198541669E-2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8" t="s">
        <v>35</v>
      </c>
      <c r="D27" s="224">
        <v>152.5382069595058</v>
      </c>
      <c r="E27" s="286">
        <v>135.03547522583867</v>
      </c>
      <c r="F27" s="226">
        <f t="shared" si="1"/>
        <v>-0.11474326388478906</v>
      </c>
      <c r="G27" s="242">
        <v>1131.4603615288449</v>
      </c>
      <c r="H27" s="286">
        <v>1234.4297937783865</v>
      </c>
      <c r="I27" s="226">
        <f t="shared" si="2"/>
        <v>9.1005779566513345E-2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8" t="s">
        <v>36</v>
      </c>
      <c r="D28" s="224">
        <v>67.959736059999997</v>
      </c>
      <c r="E28" s="286">
        <v>65.39104097000002</v>
      </c>
      <c r="F28" s="226">
        <f t="shared" si="1"/>
        <v>-3.7797308213971537E-2</v>
      </c>
      <c r="G28" s="242">
        <v>886.77111840000009</v>
      </c>
      <c r="H28" s="286">
        <v>865.04524175749998</v>
      </c>
      <c r="I28" s="226">
        <f t="shared" si="2"/>
        <v>-2.4499982229574724E-2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8" t="s">
        <v>37</v>
      </c>
      <c r="D29" s="352">
        <v>3.3735729999999999</v>
      </c>
      <c r="E29" s="317">
        <v>3.2714136000000003</v>
      </c>
      <c r="F29" s="226">
        <f t="shared" si="1"/>
        <v>-3.0282255638161559E-2</v>
      </c>
      <c r="G29" s="242">
        <v>38.975297999999995</v>
      </c>
      <c r="H29" s="286">
        <v>37.983510599999995</v>
      </c>
      <c r="I29" s="301">
        <f t="shared" si="2"/>
        <v>-2.5446563615754814E-2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8" t="s">
        <v>38</v>
      </c>
      <c r="D30" s="224">
        <v>13.934395</v>
      </c>
      <c r="E30" s="286">
        <v>14.324666585000003</v>
      </c>
      <c r="F30" s="349">
        <f t="shared" si="1"/>
        <v>2.8007788282160995E-2</v>
      </c>
      <c r="G30" s="242">
        <v>129.93101799999999</v>
      </c>
      <c r="H30" s="286">
        <v>130.848650545</v>
      </c>
      <c r="I30" s="226">
        <f t="shared" si="2"/>
        <v>7.0624594429022913E-3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8" t="s">
        <v>39</v>
      </c>
      <c r="D31" s="224">
        <v>1.1005480000000003</v>
      </c>
      <c r="E31" s="286">
        <v>1.1005480000000003</v>
      </c>
      <c r="F31" s="301">
        <f>+E31/D31-1</f>
        <v>0</v>
      </c>
      <c r="G31" s="242">
        <v>11.005480000000006</v>
      </c>
      <c r="H31" s="286">
        <v>11.005480000000006</v>
      </c>
      <c r="I31" s="226">
        <f t="shared" si="2"/>
        <v>0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0" t="s">
        <v>40</v>
      </c>
      <c r="D32" s="218">
        <v>12.851946333333329</v>
      </c>
      <c r="E32" s="287">
        <v>25.360546595833338</v>
      </c>
      <c r="F32" s="227">
        <f t="shared" si="1"/>
        <v>0.97328450789256693</v>
      </c>
      <c r="G32" s="243">
        <v>44.919230333333324</v>
      </c>
      <c r="H32" s="287">
        <v>229.39083415583335</v>
      </c>
      <c r="I32" s="227">
        <f t="shared" si="2"/>
        <v>4.1067400855621683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34" t="s">
        <v>108</v>
      </c>
      <c r="D33" s="111">
        <f>SUM(D8:D32)</f>
        <v>4761.7865472046406</v>
      </c>
      <c r="E33" s="288">
        <f>SUM(E8:E32)</f>
        <v>4901.4868332677561</v>
      </c>
      <c r="F33" s="116">
        <f>+E33/D33-1</f>
        <v>2.9337788386404107E-2</v>
      </c>
      <c r="G33" s="244">
        <f>SUM(G8:G32)</f>
        <v>43184.006537668916</v>
      </c>
      <c r="H33" s="288">
        <f>SUM(H8:H32)</f>
        <v>47576.12884582406</v>
      </c>
      <c r="I33" s="245">
        <f>+H33/G33-1</f>
        <v>0.10170715179759759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131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53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2237.6240402595895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781.24968237401072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59</v>
      </c>
      <c r="O46" s="53">
        <v>327.90756581500005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232.796601459274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18</v>
      </c>
      <c r="O48" s="53">
        <v>188.57328936488278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35</v>
      </c>
      <c r="O49" s="53">
        <v>135.03547522583867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23</v>
      </c>
      <c r="O50" s="52">
        <v>132.16612161916666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26</v>
      </c>
      <c r="O51" s="53">
        <v>122.85503118416659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25</v>
      </c>
      <c r="O52" s="53">
        <v>121.31796224795998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22</v>
      </c>
      <c r="O53" s="53">
        <v>120.55315217999998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28</v>
      </c>
      <c r="O54" s="53">
        <v>102.74404040399395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20</v>
      </c>
      <c r="O55" s="52">
        <v>101.6949669251933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33</v>
      </c>
      <c r="O56" s="53">
        <v>75.881785710000045</v>
      </c>
      <c r="P56" s="8"/>
      <c r="S56" s="91"/>
    </row>
    <row r="57" spans="3:19">
      <c r="N57" s="51" t="s">
        <v>36</v>
      </c>
      <c r="O57" s="52">
        <v>65.39104097000002</v>
      </c>
      <c r="S57" s="91"/>
    </row>
    <row r="58" spans="3:19">
      <c r="N58" s="51" t="s">
        <v>34</v>
      </c>
      <c r="O58" s="52">
        <v>63.517554620000013</v>
      </c>
      <c r="S58" s="121"/>
    </row>
    <row r="59" spans="3:19">
      <c r="N59" s="51" t="s">
        <v>31</v>
      </c>
      <c r="O59" s="52">
        <v>34.752180515333336</v>
      </c>
      <c r="S59" s="91"/>
    </row>
    <row r="60" spans="3:19">
      <c r="N60" s="51" t="s">
        <v>40</v>
      </c>
      <c r="O60" s="52">
        <v>25.360546595833338</v>
      </c>
      <c r="S60" s="91"/>
    </row>
    <row r="61" spans="3:19">
      <c r="N61" s="51" t="s">
        <v>38</v>
      </c>
      <c r="O61" s="52">
        <v>14.324666585000003</v>
      </c>
      <c r="S61" s="91"/>
    </row>
    <row r="62" spans="3:19">
      <c r="N62" s="51" t="s">
        <v>29</v>
      </c>
      <c r="O62" s="52">
        <v>5.2263861491666672</v>
      </c>
      <c r="S62" s="91"/>
    </row>
    <row r="63" spans="3:19">
      <c r="N63" s="50" t="s">
        <v>17</v>
      </c>
      <c r="O63" s="53">
        <v>4.3639481799999995</v>
      </c>
      <c r="S63" s="91"/>
    </row>
    <row r="64" spans="3:19">
      <c r="N64" s="50" t="s">
        <v>37</v>
      </c>
      <c r="O64" s="53">
        <v>3.2714136000000003</v>
      </c>
      <c r="S64" s="91"/>
    </row>
    <row r="65" spans="6:19">
      <c r="N65" s="50" t="s">
        <v>19</v>
      </c>
      <c r="O65" s="53">
        <v>2.8617900000000001</v>
      </c>
      <c r="S65" s="91"/>
    </row>
    <row r="66" spans="6:19">
      <c r="N66" s="50" t="s">
        <v>39</v>
      </c>
      <c r="O66" s="53">
        <v>1.1005480000000003</v>
      </c>
      <c r="S66" s="91"/>
    </row>
    <row r="67" spans="6:19">
      <c r="N67" s="51" t="s">
        <v>21</v>
      </c>
      <c r="O67" s="52">
        <v>0.68440044999999994</v>
      </c>
      <c r="S67" s="91"/>
    </row>
    <row r="68" spans="6:19">
      <c r="N68" s="9" t="s">
        <v>32</v>
      </c>
      <c r="O68" s="52">
        <v>0.23264283334438859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xmlns:xlrd2="http://schemas.microsoft.com/office/spreadsheetml/2017/richdata2" ref="Q44:R68">
    <sortCondition descending="1" ref="R44:R68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Lenovo</cp:lastModifiedBy>
  <cp:lastPrinted>2019-06-07T20:06:27Z</cp:lastPrinted>
  <dcterms:created xsi:type="dcterms:W3CDTF">2018-08-23T14:00:28Z</dcterms:created>
  <dcterms:modified xsi:type="dcterms:W3CDTF">2021-11-18T21:18:47Z</dcterms:modified>
</cp:coreProperties>
</file>